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705" yWindow="-15" windowWidth="9540" windowHeight="7545" tabRatio="597" firstSheet="3" activeTab="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Expenditure'!$C$1:$S$37</definedName>
    <definedName name="_xlnm.Print_Area" localSheetId="3">'Page 4 - Non Core Income &amp; Exp'!$B$1:$U$32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Q36" i="3"/>
  <c r="M36" l="1"/>
  <c r="E36"/>
  <c r="Q31" l="1"/>
  <c r="Q26"/>
  <c r="K26" l="1"/>
  <c r="G26"/>
  <c r="G41" i="5" l="1"/>
  <c r="G17" i="4" l="1"/>
  <c r="M26" i="3" l="1"/>
  <c r="O15" i="2"/>
  <c r="O20"/>
  <c r="I19" i="6"/>
  <c r="G23"/>
  <c r="E13" i="2"/>
  <c r="G13" l="1"/>
  <c r="S30" i="3"/>
  <c r="S26" l="1"/>
  <c r="S12" i="2"/>
  <c r="S11"/>
  <c r="I15" i="6"/>
  <c r="Q23"/>
  <c r="S23"/>
  <c r="O22"/>
  <c r="M23"/>
  <c r="K23"/>
  <c r="E23"/>
  <c r="E11" i="4" l="1"/>
  <c r="E12"/>
  <c r="E16"/>
  <c r="K14"/>
  <c r="H14"/>
  <c r="S29" i="1"/>
  <c r="S28"/>
  <c r="Q29"/>
  <c r="S12" i="6"/>
  <c r="Q12"/>
  <c r="M29" i="1"/>
  <c r="K29"/>
  <c r="G29"/>
  <c r="E29"/>
  <c r="Q21" i="6"/>
  <c r="O21"/>
  <c r="I21"/>
  <c r="I23" s="1"/>
  <c r="O20"/>
  <c r="I20"/>
  <c r="Q19"/>
  <c r="O19"/>
  <c r="S16"/>
  <c r="S25" s="1"/>
  <c r="Q16"/>
  <c r="Q25" s="1"/>
  <c r="M16"/>
  <c r="M25" s="1"/>
  <c r="K16"/>
  <c r="K28" i="1" s="1"/>
  <c r="G16" i="6"/>
  <c r="E16"/>
  <c r="E28" i="1" s="1"/>
  <c r="O15" i="6"/>
  <c r="O14"/>
  <c r="I14"/>
  <c r="O13"/>
  <c r="I13"/>
  <c r="O12"/>
  <c r="I12"/>
  <c r="E7"/>
  <c r="C4"/>
  <c r="K22" i="2"/>
  <c r="G22"/>
  <c r="G24" s="1"/>
  <c r="S19" i="3"/>
  <c r="S20" i="1" s="1"/>
  <c r="O18" i="3"/>
  <c r="O17"/>
  <c r="O16"/>
  <c r="K19"/>
  <c r="G19"/>
  <c r="G20" i="1" s="1"/>
  <c r="E19" i="3"/>
  <c r="Q22" i="2"/>
  <c r="Q14" i="1" s="1"/>
  <c r="M22" i="2"/>
  <c r="M14" i="1" s="1"/>
  <c r="S13" i="2"/>
  <c r="Q13"/>
  <c r="M13"/>
  <c r="K13"/>
  <c r="K24" s="1"/>
  <c r="I13"/>
  <c r="X30" i="3"/>
  <c r="X29"/>
  <c r="X28"/>
  <c r="X25"/>
  <c r="X24"/>
  <c r="X23"/>
  <c r="X18"/>
  <c r="X17"/>
  <c r="X16"/>
  <c r="X14"/>
  <c r="M31"/>
  <c r="K31"/>
  <c r="K33" s="1"/>
  <c r="O29"/>
  <c r="O30"/>
  <c r="O28"/>
  <c r="O24"/>
  <c r="O25"/>
  <c r="O23"/>
  <c r="E31"/>
  <c r="G31"/>
  <c r="I29"/>
  <c r="I30"/>
  <c r="I28"/>
  <c r="E26"/>
  <c r="I24"/>
  <c r="I25"/>
  <c r="I23"/>
  <c r="I18"/>
  <c r="I14"/>
  <c r="F17" i="4"/>
  <c r="F18" s="1"/>
  <c r="G18"/>
  <c r="K11" i="1"/>
  <c r="K12" s="1"/>
  <c r="M11"/>
  <c r="M12" s="1"/>
  <c r="E11"/>
  <c r="E12" s="1"/>
  <c r="E22" i="2"/>
  <c r="E24" s="1"/>
  <c r="G11" i="1"/>
  <c r="G12" s="1"/>
  <c r="E7" i="3"/>
  <c r="S22" i="2"/>
  <c r="S14" i="1" s="1"/>
  <c r="Q11"/>
  <c r="Q12" s="1"/>
  <c r="I15" i="2"/>
  <c r="I16"/>
  <c r="I17"/>
  <c r="I18"/>
  <c r="I19"/>
  <c r="I20"/>
  <c r="I21"/>
  <c r="O16"/>
  <c r="O18"/>
  <c r="O21"/>
  <c r="O19"/>
  <c r="O17"/>
  <c r="U30" i="3"/>
  <c r="U29"/>
  <c r="U28"/>
  <c r="U25"/>
  <c r="U24"/>
  <c r="U23"/>
  <c r="U14"/>
  <c r="U16"/>
  <c r="U17"/>
  <c r="U18"/>
  <c r="O11" i="2"/>
  <c r="O12"/>
  <c r="F34" i="5"/>
  <c r="G36"/>
  <c r="Q52" i="1" s="1"/>
  <c r="I17" i="4"/>
  <c r="K44" i="1" s="1"/>
  <c r="W37" i="3"/>
  <c r="V24"/>
  <c r="H36" i="5"/>
  <c r="S52" i="1" s="1"/>
  <c r="H47" i="5"/>
  <c r="S53" i="1" s="1"/>
  <c r="H72" i="5"/>
  <c r="S55" i="1" s="1"/>
  <c r="D36" i="5"/>
  <c r="E52" i="1"/>
  <c r="K52" s="1"/>
  <c r="D47" i="5"/>
  <c r="E53" i="1" s="1"/>
  <c r="K53" s="1"/>
  <c r="E36" i="5"/>
  <c r="G52" i="1" s="1"/>
  <c r="M52" s="1"/>
  <c r="E47" i="5"/>
  <c r="G53" i="1" s="1"/>
  <c r="M53" s="1"/>
  <c r="E59" i="5"/>
  <c r="G54" i="1" s="1"/>
  <c r="M54" s="1"/>
  <c r="E72" i="5"/>
  <c r="G55" i="1" s="1"/>
  <c r="M55" s="1"/>
  <c r="D72" i="5"/>
  <c r="E55" i="1" s="1"/>
  <c r="J17" i="4"/>
  <c r="J18" s="1"/>
  <c r="M43" i="1"/>
  <c r="K43"/>
  <c r="F8" i="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K22" i="4"/>
  <c r="H22"/>
  <c r="K20"/>
  <c r="H20"/>
  <c r="K16"/>
  <c r="H16"/>
  <c r="K15"/>
  <c r="H15"/>
  <c r="K13"/>
  <c r="H13"/>
  <c r="K12"/>
  <c r="H12"/>
  <c r="K11"/>
  <c r="H11"/>
  <c r="H10"/>
  <c r="K10"/>
  <c r="K7"/>
  <c r="G72" i="5"/>
  <c r="Q55" i="1" s="1"/>
  <c r="G59" i="5"/>
  <c r="Q54" i="1" s="1"/>
  <c r="G47" i="5"/>
  <c r="Q53" i="1" s="1"/>
  <c r="D59" i="5"/>
  <c r="E54" i="1" s="1"/>
  <c r="G43"/>
  <c r="E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 s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98"/>
  <c r="I99"/>
  <c r="I100"/>
  <c r="F96"/>
  <c r="F102" s="1"/>
  <c r="F97"/>
  <c r="F101"/>
  <c r="F98"/>
  <c r="F99"/>
  <c r="F100"/>
  <c r="I64"/>
  <c r="I72" s="1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S11" i="1"/>
  <c r="S12" s="1"/>
  <c r="F59" i="5"/>
  <c r="U39" i="3"/>
  <c r="H86" i="5"/>
  <c r="I54"/>
  <c r="S31" i="3"/>
  <c r="S33" s="1"/>
  <c r="E44" i="1"/>
  <c r="I84" i="5"/>
  <c r="I86"/>
  <c r="F84"/>
  <c r="F86"/>
  <c r="G44" i="1"/>
  <c r="F36" i="5"/>
  <c r="I17" i="3"/>
  <c r="I16"/>
  <c r="V39"/>
  <c r="W38"/>
  <c r="U37"/>
  <c r="U38" s="1"/>
  <c r="V37"/>
  <c r="V38"/>
  <c r="K36" l="1"/>
  <c r="M24" i="2"/>
  <c r="I59" i="5"/>
  <c r="H61"/>
  <c r="H80" s="1"/>
  <c r="H88" s="1"/>
  <c r="H93" s="1"/>
  <c r="H166" s="1"/>
  <c r="G61"/>
  <c r="G80" s="1"/>
  <c r="G88" s="1"/>
  <c r="G93" s="1"/>
  <c r="I47"/>
  <c r="I36"/>
  <c r="E33" i="3"/>
  <c r="U26"/>
  <c r="E14" i="1"/>
  <c r="E16" s="1"/>
  <c r="K20"/>
  <c r="G14"/>
  <c r="G16" s="1"/>
  <c r="O16" i="6"/>
  <c r="M33" i="3"/>
  <c r="M21" i="1" s="1"/>
  <c r="E20"/>
  <c r="O31" i="3"/>
  <c r="O13" i="2"/>
  <c r="M44" i="1"/>
  <c r="O44" s="1"/>
  <c r="E31"/>
  <c r="I102" i="5"/>
  <c r="F72"/>
  <c r="K54" i="1"/>
  <c r="O54" s="1"/>
  <c r="I54"/>
  <c r="E61" i="5"/>
  <c r="E80" s="1"/>
  <c r="E88" s="1"/>
  <c r="E93" s="1"/>
  <c r="E104" s="1"/>
  <c r="G56" i="1"/>
  <c r="D61" i="5"/>
  <c r="F47"/>
  <c r="K14" i="1"/>
  <c r="O14" s="1"/>
  <c r="O22" i="2"/>
  <c r="I22"/>
  <c r="I24" s="1"/>
  <c r="I26" i="3"/>
  <c r="I31"/>
  <c r="U31"/>
  <c r="U33" s="1"/>
  <c r="X31"/>
  <c r="X26"/>
  <c r="O26"/>
  <c r="Q19"/>
  <c r="G33"/>
  <c r="G36" s="1"/>
  <c r="Q28" i="1"/>
  <c r="Q31" s="1"/>
  <c r="M28"/>
  <c r="M31" s="1"/>
  <c r="O29"/>
  <c r="K25" i="6"/>
  <c r="I29" i="1"/>
  <c r="G25" i="6"/>
  <c r="E25"/>
  <c r="G28" i="1"/>
  <c r="G31" s="1"/>
  <c r="I52"/>
  <c r="G45"/>
  <c r="H17" i="4"/>
  <c r="I44" i="1" s="1"/>
  <c r="K45"/>
  <c r="K17" i="4"/>
  <c r="I18"/>
  <c r="K18" s="1"/>
  <c r="D80" i="5"/>
  <c r="D88" s="1"/>
  <c r="D93" s="1"/>
  <c r="D166" s="1"/>
  <c r="I55" i="1"/>
  <c r="I53"/>
  <c r="E45"/>
  <c r="S36" i="3"/>
  <c r="S21" i="1"/>
  <c r="S22" s="1"/>
  <c r="K21"/>
  <c r="O15" i="3"/>
  <c r="U15"/>
  <c r="U19" s="1"/>
  <c r="O14"/>
  <c r="X15"/>
  <c r="X19" s="1"/>
  <c r="I15"/>
  <c r="I19" s="1"/>
  <c r="M19"/>
  <c r="M20" i="1" s="1"/>
  <c r="M22" s="1"/>
  <c r="M16"/>
  <c r="I11"/>
  <c r="I12" s="1"/>
  <c r="Q24" i="2"/>
  <c r="S24"/>
  <c r="Q16" i="1"/>
  <c r="S16"/>
  <c r="S34" s="1"/>
  <c r="O11"/>
  <c r="O12" s="1"/>
  <c r="I16" i="6"/>
  <c r="O23"/>
  <c r="M56" i="1"/>
  <c r="O53"/>
  <c r="Q56"/>
  <c r="E56"/>
  <c r="S56"/>
  <c r="O43"/>
  <c r="K31"/>
  <c r="S31"/>
  <c r="O52"/>
  <c r="I43"/>
  <c r="K55"/>
  <c r="O55" s="1"/>
  <c r="E22" l="1"/>
  <c r="K22"/>
  <c r="E34"/>
  <c r="I61" i="5"/>
  <c r="I80"/>
  <c r="I88" s="1"/>
  <c r="I93" s="1"/>
  <c r="K35" i="1"/>
  <c r="K16"/>
  <c r="O20"/>
  <c r="I20"/>
  <c r="I14"/>
  <c r="I16" s="1"/>
  <c r="O25" i="6"/>
  <c r="O19" i="3"/>
  <c r="O28" i="1"/>
  <c r="O31" s="1"/>
  <c r="O24" i="2"/>
  <c r="E21" i="1"/>
  <c r="M45"/>
  <c r="H18" i="4"/>
  <c r="M34" i="1"/>
  <c r="O33" i="3"/>
  <c r="Q20" i="1"/>
  <c r="I33" i="3"/>
  <c r="I36" s="1"/>
  <c r="I25" i="6"/>
  <c r="E166" i="5"/>
  <c r="F166" s="1"/>
  <c r="F61"/>
  <c r="F80" s="1"/>
  <c r="F88" s="1"/>
  <c r="F93" s="1"/>
  <c r="I56" i="1"/>
  <c r="Q34"/>
  <c r="S35"/>
  <c r="S37" s="1"/>
  <c r="G21"/>
  <c r="U36" i="3"/>
  <c r="Q33"/>
  <c r="Q21" i="1" s="1"/>
  <c r="X33" i="3"/>
  <c r="X36" s="1"/>
  <c r="I28" i="1"/>
  <c r="I31" s="1"/>
  <c r="G34"/>
  <c r="H104" i="5"/>
  <c r="G166"/>
  <c r="I166" s="1"/>
  <c r="G104"/>
  <c r="D104"/>
  <c r="F104" s="1"/>
  <c r="O45" i="1"/>
  <c r="I45"/>
  <c r="O21"/>
  <c r="M25"/>
  <c r="O56"/>
  <c r="K56"/>
  <c r="O16" l="1"/>
  <c r="O25" s="1"/>
  <c r="K25"/>
  <c r="Q22"/>
  <c r="E25"/>
  <c r="I34"/>
  <c r="X41" i="3"/>
  <c r="Q25" i="1"/>
  <c r="O22"/>
  <c r="O36" i="3"/>
  <c r="K34" i="1"/>
  <c r="O34" s="1"/>
  <c r="E35"/>
  <c r="I21"/>
  <c r="I22" s="1"/>
  <c r="I25" s="1"/>
  <c r="K37"/>
  <c r="S25"/>
  <c r="G22"/>
  <c r="G25" s="1"/>
  <c r="I104" i="5"/>
  <c r="M37" i="1"/>
  <c r="M35"/>
  <c r="O35" s="1"/>
  <c r="O37" l="1"/>
  <c r="G35"/>
  <c r="I35" s="1"/>
  <c r="I37" s="1"/>
  <c r="G37"/>
  <c r="E37"/>
  <c r="Q35"/>
  <c r="Q37" s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F7" authorId="0">
      <text>
        <r>
          <rPr>
            <sz val="9"/>
            <color indexed="81"/>
            <rFont val="Tahoma"/>
            <family val="2"/>
          </rPr>
          <t>Please enter the level of recurring savings included in the year to date LDP trajectory - note that this figure must be between 0 and the figure in cell J8</t>
        </r>
      </text>
    </commen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<sst xmlns="http://schemas.openxmlformats.org/spreadsheetml/2006/main" count="330" uniqueCount="205">
  <si>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</si>
  <si>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</si>
  <si>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</si>
  <si>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</si>
  <si>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</si>
  <si>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</si>
  <si>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</si>
  <si>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</si>
  <si>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</si>
  <si>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</si>
  <si>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</si>
  <si>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</si>
  <si>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</si>
  <si>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</si>
  <si>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</si>
  <si>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</si>
  <si>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</si>
  <si>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</si>
  <si>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</si>
  <si>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</si>
  <si>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</si>
  <si>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</si>
  <si>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</si>
  <si>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</si>
  <si>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</si>
  <si>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</si>
  <si>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</si>
  <si>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</si>
  <si>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</si>
  <si>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</si>
  <si>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</si>
  <si>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</si>
  <si>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</si>
  <si>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</si>
  <si>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</si>
  <si>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</si>
  <si>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</si>
  <si>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</si>
  <si>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</si>
  <si>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</si>
  <si>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</si>
  <si>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</si>
  <si>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</si>
  <si>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</si>
  <si>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</si>
  <si>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</si>
  <si>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</si>
  <si>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</si>
  <si>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</si>
  <si>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</si>
  <si>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</si>
  <si>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</si>
  <si>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</si>
  <si>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</si>
  <si>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</si>
  <si>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</si>
  <si>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</si>
  <si>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</si>
  <si>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</si>
  <si>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</si>
  <si>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</si>
  <si>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</si>
  <si>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</si>
  <si>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</si>
  <si>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</si>
  <si>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</si>
  <si>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</si>
  <si>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</si>
  <si>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</si>
  <si>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</si>
  <si>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</si>
  <si>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</si>
  <si>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</si>
  <si>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</si>
  <si>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</si>
  <si>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</si>
  <si>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</si>
  <si>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</si>
  <si>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</si>
  <si>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</si>
  <si>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</si>
  <si>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</si>
  <si>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</si>
  <si>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</si>
  <si>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</si>
  <si>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</si>
  <si>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</si>
  <si>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</si>
  <si>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</si>
  <si>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</si>
  <si>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</si>
  <si>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</si>
  <si>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</si>
  <si>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</si>
  <si>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</si>
  <si>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</si>
  <si>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</si>
  <si>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</si>
  <si>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</si>
  <si>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</si>
  <si>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</si>
  <si>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</si>
  <si>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</si>
  <si>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</si>
  <si>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</si>
  <si>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</si>
  <si>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</si>
  <si>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</si>
  <si>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</si>
  <si>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</si>
  <si>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</si>
  <si>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</si>
  <si>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</si>
  <si>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</si>
  <si>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</si>
  <si>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</si>
  <si>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</si>
  <si>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</si>
  <si>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</si>
  <si>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</si>
  <si>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</si>
  <si>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</si>
  <si>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</si>
  <si>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</si>
  <si>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</si>
  <si>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</si>
  <si>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</si>
  <si>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</si>
  <si>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</si>
  <si>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</si>
  <si>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</si>
  <si>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</si>
  <si>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</si>
  <si>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</si>
  <si>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</si>
  <si>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</si>
  <si>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</si>
  <si>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</si>
  <si>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</si>
  <si>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</si>
  <si>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</si>
  <si>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</si>
  <si>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</si>
  <si>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</si>
  <si>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</si>
  <si>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</si>
  <si>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</si>
  <si>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</si>
  <si>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</si>
  <si>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</si>
  <si>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</si>
  <si>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</si>
  <si>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</si>
  <si>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</si>
  <si>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</si>
  <si>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</si>
  <si>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</si>
  <si>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</si>
  <si>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</si>
  <si>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</si>
  <si>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</si>
  <si>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</si>
  <si>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</si>
  <si>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</si>
  <si>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</si>
  <si>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</si>
  <si>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</si>
  <si>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</si>
  <si>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</si>
  <si>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</si>
  <si>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</si>
  <si>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</si>
  <si>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2015-16 Forecast Year end Outturn</t>
  </si>
  <si>
    <t>2015-16 Year end Position</t>
  </si>
  <si>
    <t>Planned Plant Replacement</t>
  </si>
  <si>
    <t>Total Core Funding</t>
  </si>
  <si>
    <t>Total Core Funding/Income</t>
  </si>
  <si>
    <t>Income/Funding Core</t>
  </si>
  <si>
    <t>Funding non-core</t>
  </si>
  <si>
    <t>Provisions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</si>
  <si>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</si>
  <si>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</si>
  <si>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</si>
  <si>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</si>
  <si>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</si>
  <si>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</si>
  <si>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</si>
  <si>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</si>
  <si>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</si>
  <si>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2016-17 Year to Date</t>
  </si>
  <si>
    <t>2016-17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</si>
  <si>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</si>
  <si>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</si>
  <si>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</si>
  <si>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</si>
  <si>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</si>
  <si>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</si>
  <si>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</si>
  <si>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2016/176 Year-end Forecast</t>
  </si>
  <si>
    <t>Other Shared Services</t>
  </si>
  <si>
    <t>Depreciation - Donated Assets (AME)</t>
  </si>
  <si>
    <t>Impairment (AME)</t>
  </si>
  <si>
    <t>2016-17 - December 2016</t>
  </si>
  <si>
    <t>December</t>
  </si>
  <si>
    <t>December 2016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</si>
</sst>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8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3" xfId="0" applyNumberFormat="1" applyFont="1" applyFill="1" applyBorder="1" applyAlignment="1" applyProtection="1">
      <alignment horizontal="center"/>
      <protection locked="0"/>
    </xf>
    <xf numFmtId="9" fontId="26" fillId="27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7" borderId="23" xfId="0" applyNumberFormat="1" applyFont="1" applyFill="1" applyBorder="1" applyAlignment="1" applyProtection="1">
      <alignment horizontal="center"/>
      <protection locked="0"/>
    </xf>
    <xf numFmtId="9" fontId="26" fillId="27" borderId="45" xfId="0" applyNumberFormat="1" applyFont="1" applyFill="1" applyBorder="1" applyAlignment="1" applyProtection="1">
      <alignment horizontal="center"/>
      <protection locked="0"/>
    </xf>
    <xf numFmtId="9" fontId="26" fillId="27" borderId="17" xfId="0" applyNumberFormat="1" applyFont="1" applyFill="1" applyBorder="1" applyAlignment="1" applyProtection="1">
      <alignment horizontal="center"/>
      <protection locked="0"/>
    </xf>
    <xf numFmtId="9" fontId="26" fillId="27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1" fillId="0" borderId="24" xfId="40" applyNumberFormat="1" applyFont="1" applyFill="1" applyBorder="1" applyAlignment="1">
      <alignment horizontal="right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5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0" fillId="0" borderId="19" xfId="40" applyNumberFormat="1" applyFont="1" applyBorder="1" applyAlignment="1">
      <alignment horizontal="right"/>
    </xf>
    <xf numFmtId="165" fontId="46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37" xfId="0" applyNumberFormat="1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3"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NWTC-MONTHEND\NWTC-Monthend-2016-17\June%2016\Corp\Board%20Report%20M03%20-%20Jun'16(New%20Non-Core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Page 2 - Core Income "/>
      <sheetName val="Page 3 - Core Expenditure"/>
      <sheetName val="Page 4 - Non Core Income &amp; Exp"/>
      <sheetName val="Supplies Rework"/>
      <sheetName val="Summary-Old"/>
      <sheetName val="Tables"/>
      <sheetName val="Sheet1"/>
      <sheetName val="Query1"/>
      <sheetName val="YTD-NewOrg+ Variance Matix (2)"/>
      <sheetName val="Lookup-New Structure"/>
      <sheetName val="Expenditure Codes Salaries"/>
      <sheetName val="Expenditure Codes ex Salaries"/>
    </sheetNames>
    <sheetDataSet>
      <sheetData sheetId="0"/>
      <sheetData sheetId="1"/>
      <sheetData sheetId="2"/>
      <sheetData sheetId="3"/>
      <sheetData sheetId="4"/>
      <sheetData sheetId="5">
        <row r="31">
          <cell r="C31">
            <v>4588771.4199999981</v>
          </cell>
          <cell r="M31">
            <v>67309049.280000016</v>
          </cell>
        </row>
      </sheetData>
      <sheetData sheetId="6"/>
      <sheetData sheetId="7"/>
      <sheetData sheetId="8">
        <row r="5417">
          <cell r="G5417">
            <v>-4619189.4000000004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zoomScale="90" zoomScaleNormal="90" workbookViewId="0">
      <selection activeCell="Q23" sqref="Q23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6" t="s">
        <v>202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30</v>
      </c>
      <c r="D7" s="112"/>
      <c r="E7" s="296" t="s">
        <v>203</v>
      </c>
      <c r="F7" s="297"/>
      <c r="G7" s="297"/>
      <c r="H7" s="297"/>
      <c r="I7" s="298"/>
      <c r="J7" s="112"/>
      <c r="K7" s="296" t="s">
        <v>1</v>
      </c>
      <c r="L7" s="297"/>
      <c r="M7" s="297"/>
      <c r="N7" s="297"/>
      <c r="O7" s="298"/>
      <c r="P7" s="112"/>
      <c r="Q7" s="9" t="s">
        <v>2</v>
      </c>
      <c r="R7" s="112"/>
      <c r="S7" s="9" t="s">
        <v>3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7</v>
      </c>
      <c r="R8" s="73"/>
      <c r="S8" s="15" t="s">
        <v>4</v>
      </c>
      <c r="U8" s="16"/>
      <c r="V8" s="16"/>
      <c r="W8" s="16"/>
      <c r="X8" s="16"/>
    </row>
    <row r="9" spans="3:24">
      <c r="C9" s="15" t="s">
        <v>186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-6481.2303699999993</v>
      </c>
      <c r="F11" s="27"/>
      <c r="G11" s="28">
        <f>'Page 2 - Core Income '!G11+'Page 2 - Core Income '!G12</f>
        <v>-6481.2303699999993</v>
      </c>
      <c r="H11" s="29"/>
      <c r="I11" s="30">
        <f>E11-G11</f>
        <v>0</v>
      </c>
      <c r="J11" s="73"/>
      <c r="K11" s="26">
        <f>'Page 2 - Core Income '!K11+'Page 2 - Core Income '!K12</f>
        <v>-46837.774570000023</v>
      </c>
      <c r="L11" s="27"/>
      <c r="M11" s="28">
        <f>'Page 2 - Core Income '!M11+'Page 2 - Core Income '!M12</f>
        <v>-46837.774570000023</v>
      </c>
      <c r="N11" s="29"/>
      <c r="O11" s="30">
        <f>K11-M11</f>
        <v>0</v>
      </c>
      <c r="P11" s="73"/>
      <c r="Q11" s="31">
        <f>'Page 2 - Core Income '!Q11+'Page 2 - Core Income '!Q12</f>
        <v>-65567.55495000002</v>
      </c>
      <c r="R11" s="73"/>
      <c r="S11" s="31">
        <f>'Page 2 - Core Income '!S11+'Page 2 - Core Income '!S12</f>
        <v>-67309.049280000021</v>
      </c>
      <c r="U11" s="16"/>
      <c r="V11" s="25"/>
      <c r="W11" s="16"/>
      <c r="X11" s="16"/>
    </row>
    <row r="12" spans="3:24">
      <c r="C12" s="15" t="s">
        <v>181</v>
      </c>
      <c r="D12" s="73"/>
      <c r="E12" s="45">
        <f>SUM(E11:E11)</f>
        <v>-6481.2303699999993</v>
      </c>
      <c r="F12" s="48"/>
      <c r="G12" s="47">
        <f>SUM(G11:G11)</f>
        <v>-6481.2303699999993</v>
      </c>
      <c r="H12" s="48"/>
      <c r="I12" s="49">
        <f>SUM(I11:I11)</f>
        <v>0</v>
      </c>
      <c r="J12" s="4"/>
      <c r="K12" s="45">
        <f>SUM(K11:K11)</f>
        <v>-46837.774570000023</v>
      </c>
      <c r="L12" s="48"/>
      <c r="M12" s="47">
        <f>SUM(M11:M11)</f>
        <v>-46837.774570000023</v>
      </c>
      <c r="N12" s="48"/>
      <c r="O12" s="49">
        <f>SUM(O11:O11)</f>
        <v>0</v>
      </c>
      <c r="P12" s="4"/>
      <c r="Q12" s="50">
        <f>SUM(Q11:Q11)</f>
        <v>-65567.55495000002</v>
      </c>
      <c r="R12" s="4"/>
      <c r="S12" s="50">
        <f>SUM(S11:S11)</f>
        <v>-67309.049280000021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U13" s="16"/>
      <c r="W13" s="16"/>
      <c r="X13" s="25"/>
    </row>
    <row r="14" spans="3:24">
      <c r="C14" s="58" t="s">
        <v>0</v>
      </c>
      <c r="D14" s="73"/>
      <c r="E14" s="280">
        <f>'Page 2 - Core Income '!E22</f>
        <v>-5544.1878399999987</v>
      </c>
      <c r="F14" s="252"/>
      <c r="G14" s="28">
        <f>'Page 2 - Core Income '!G22</f>
        <v>-4951.8060299999997</v>
      </c>
      <c r="H14" s="29"/>
      <c r="I14" s="30">
        <f>E14-G14</f>
        <v>-592.38180999999895</v>
      </c>
      <c r="J14" s="73"/>
      <c r="K14" s="41">
        <f>'Page 2 - Core Income '!K22</f>
        <v>-45522.708310000002</v>
      </c>
      <c r="L14" s="27"/>
      <c r="M14" s="28">
        <f>'Page 2 - Core Income '!M22</f>
        <v>-46494.272879999997</v>
      </c>
      <c r="N14" s="29"/>
      <c r="O14" s="30">
        <f>K14-M14+1</f>
        <v>972.564569999995</v>
      </c>
      <c r="P14" s="73"/>
      <c r="Q14" s="31">
        <f>'Page 2 - Core Income '!Q22</f>
        <v>-61467.903636180192</v>
      </c>
      <c r="R14" s="73"/>
      <c r="S14" s="31">
        <f>'Page 2 - Core Income '!S22</f>
        <v>-58083.023200000003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U15" s="16"/>
      <c r="V15" s="25"/>
      <c r="W15" s="16"/>
      <c r="X15" s="16"/>
    </row>
    <row r="16" spans="3:24">
      <c r="C16" s="44" t="s">
        <v>180</v>
      </c>
      <c r="D16" s="73"/>
      <c r="E16" s="45">
        <f>E12+E14</f>
        <v>-12025.418209999998</v>
      </c>
      <c r="F16" s="46"/>
      <c r="G16" s="47">
        <f>G12+G14</f>
        <v>-11433.036399999999</v>
      </c>
      <c r="H16" s="48"/>
      <c r="I16" s="49">
        <f>I14</f>
        <v>-592.38180999999895</v>
      </c>
      <c r="J16" s="73"/>
      <c r="K16" s="45">
        <f>K12+K14</f>
        <v>-92360.482880000025</v>
      </c>
      <c r="L16" s="46"/>
      <c r="M16" s="47">
        <f>M12+M14</f>
        <v>-93332.047450000013</v>
      </c>
      <c r="N16" s="48"/>
      <c r="O16" s="49">
        <f>K16-M16+1</f>
        <v>972.56456999998773</v>
      </c>
      <c r="P16" s="73"/>
      <c r="Q16" s="50">
        <f>Q12+Q14</f>
        <v>-127035.4585861802</v>
      </c>
      <c r="R16" s="73"/>
      <c r="S16" s="50">
        <f>S12+S14</f>
        <v>-125392.07248000003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U19" s="16"/>
      <c r="V19" s="25"/>
      <c r="W19" s="16"/>
      <c r="X19" s="16"/>
    </row>
    <row r="20" spans="3:24">
      <c r="C20" s="76" t="s">
        <v>13</v>
      </c>
      <c r="D20" s="73"/>
      <c r="E20" s="59">
        <f>'Page 3 - Core Expenditure'!E19</f>
        <v>6652.8</v>
      </c>
      <c r="F20" s="176"/>
      <c r="G20" s="60">
        <f>'Page 3 - Core Expenditure'!G19</f>
        <v>6666.9</v>
      </c>
      <c r="H20" s="29"/>
      <c r="I20" s="30">
        <f>E20-G20</f>
        <v>-14.099999999999454</v>
      </c>
      <c r="J20" s="73"/>
      <c r="K20" s="59">
        <f>'Page 3 - Core Expenditure'!K19</f>
        <v>59746</v>
      </c>
      <c r="L20" s="176"/>
      <c r="M20" s="60">
        <f>'Page 3 - Core Expenditure'!M19</f>
        <v>60798.400000000001</v>
      </c>
      <c r="N20" s="29"/>
      <c r="O20" s="30">
        <f>K20-M20</f>
        <v>-1052.4000000000015</v>
      </c>
      <c r="P20" s="73"/>
      <c r="Q20" s="31">
        <f>'Page 3 - Core Expenditure'!Q19</f>
        <v>81184.099999999991</v>
      </c>
      <c r="R20" s="73"/>
      <c r="S20" s="31">
        <f>'Page 3 - Core Expenditure'!S19</f>
        <v>75196</v>
      </c>
    </row>
    <row r="21" spans="3:24">
      <c r="C21" s="76" t="s">
        <v>20</v>
      </c>
      <c r="D21" s="73"/>
      <c r="E21" s="59">
        <f>'Page 3 - Core Expenditure'!E33</f>
        <v>5373</v>
      </c>
      <c r="F21" s="176"/>
      <c r="G21" s="60">
        <f>'Page 3 - Core Expenditure'!G33</f>
        <v>4774.5999999999995</v>
      </c>
      <c r="H21" s="29"/>
      <c r="I21" s="30">
        <f>E21-G21-1</f>
        <v>597.40000000000055</v>
      </c>
      <c r="J21" s="73"/>
      <c r="K21" s="59">
        <f>'Page 3 - Core Expenditure'!K33</f>
        <v>32613.899999999998</v>
      </c>
      <c r="L21" s="176"/>
      <c r="M21" s="60">
        <f>'Page 3 - Core Expenditure'!M33</f>
        <v>32534.6</v>
      </c>
      <c r="N21" s="29"/>
      <c r="O21" s="30">
        <f>K21-M21</f>
        <v>79.299999999999272</v>
      </c>
      <c r="P21" s="73"/>
      <c r="Q21" s="31">
        <f>'Page 3 - Core Expenditure'!Q33</f>
        <v>45850.899999999994</v>
      </c>
      <c r="R21" s="73"/>
      <c r="S21" s="31">
        <f>'Page 3 - Core Expenditure'!S33+1</f>
        <v>50196</v>
      </c>
    </row>
    <row r="22" spans="3:24">
      <c r="C22" s="44" t="s">
        <v>182</v>
      </c>
      <c r="D22" s="73"/>
      <c r="E22" s="45">
        <f>SUM(E20:E21)</f>
        <v>12025.8</v>
      </c>
      <c r="F22" s="46"/>
      <c r="G22" s="47">
        <f>SUM(G20:G21)</f>
        <v>11441.5</v>
      </c>
      <c r="H22" s="48"/>
      <c r="I22" s="49">
        <f>SUM(I20:I21)</f>
        <v>583.30000000000109</v>
      </c>
      <c r="J22" s="73"/>
      <c r="K22" s="45">
        <f>SUM(K20:K21)</f>
        <v>92359.9</v>
      </c>
      <c r="L22" s="46"/>
      <c r="M22" s="47">
        <f>SUM(M20:M21)-1</f>
        <v>93332</v>
      </c>
      <c r="N22" s="48"/>
      <c r="O22" s="49">
        <f>SUM(O20:O21)</f>
        <v>-973.10000000000218</v>
      </c>
      <c r="P22" s="73"/>
      <c r="Q22" s="261">
        <f>SUM(Q20:Q21)</f>
        <v>127034.99999999999</v>
      </c>
      <c r="R22" s="73"/>
      <c r="S22" s="50">
        <f>SUM(S20:S21)</f>
        <v>125392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</row>
    <row r="24" spans="3:24">
      <c r="C24" s="58"/>
      <c r="D24" s="73"/>
      <c r="E24" s="59"/>
      <c r="F24" s="176"/>
      <c r="G24" s="60"/>
      <c r="H24" s="39"/>
      <c r="I24" s="30"/>
      <c r="J24" s="73"/>
      <c r="K24" s="59"/>
      <c r="L24" s="176"/>
      <c r="M24" s="60"/>
      <c r="N24" s="39"/>
      <c r="O24" s="30"/>
      <c r="P24" s="73"/>
      <c r="Q24" s="31"/>
      <c r="R24" s="73"/>
      <c r="S24" s="31"/>
    </row>
    <row r="25" spans="3:24">
      <c r="C25" s="44" t="s">
        <v>183</v>
      </c>
      <c r="D25" s="73"/>
      <c r="E25" s="45">
        <f>-(E16+E22)</f>
        <v>-0.38179000000127417</v>
      </c>
      <c r="F25" s="46"/>
      <c r="G25" s="47">
        <f>-(G16+G22)-1</f>
        <v>-9.4636000000009517</v>
      </c>
      <c r="H25" s="75"/>
      <c r="I25" s="49">
        <f>(I16+I22)</f>
        <v>-9.0818099999978585</v>
      </c>
      <c r="J25" s="73"/>
      <c r="K25" s="45">
        <f>-(K16+K22)-1</f>
        <v>-0.41711999996914528</v>
      </c>
      <c r="L25" s="46"/>
      <c r="M25" s="47">
        <f>-(M16+M22)</f>
        <v>4.7450000012759119E-2</v>
      </c>
      <c r="N25" s="75"/>
      <c r="O25" s="49">
        <f>(O16+O22)+1</f>
        <v>0.46456999998554238</v>
      </c>
      <c r="P25" s="73"/>
      <c r="Q25" s="50">
        <f>+Q16+Q22</f>
        <v>-0.45858618021884467</v>
      </c>
      <c r="R25" s="73"/>
      <c r="S25" s="50">
        <f>+S16+S22</f>
        <v>-7.2480000031646341E-2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</row>
    <row r="27" spans="3:24">
      <c r="C27" s="15" t="s">
        <v>187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</row>
    <row r="28" spans="3:24">
      <c r="C28" s="74" t="s">
        <v>191</v>
      </c>
      <c r="D28" s="73"/>
      <c r="E28" s="59">
        <f>'Page 4 - Non Core Income &amp; Exp'!E16</f>
        <v>-520</v>
      </c>
      <c r="F28" s="176"/>
      <c r="G28" s="60">
        <f>'Page 4 - Non Core Income &amp; Exp'!G16</f>
        <v>-520</v>
      </c>
      <c r="H28" s="39"/>
      <c r="I28" s="30">
        <f>E28-G28</f>
        <v>0</v>
      </c>
      <c r="J28" s="73"/>
      <c r="K28" s="59">
        <f>'Page 4 - Non Core Income &amp; Exp'!K16</f>
        <v>-4684</v>
      </c>
      <c r="L28" s="176"/>
      <c r="M28" s="60">
        <f>'Page 4 - Non Core Income &amp; Exp'!M16</f>
        <v>-5459</v>
      </c>
      <c r="N28" s="39"/>
      <c r="O28" s="30">
        <f>K28-M28</f>
        <v>775</v>
      </c>
      <c r="P28" s="73"/>
      <c r="Q28" s="24">
        <f>'Page 4 - Non Core Income &amp; Exp'!Q16</f>
        <v>-6786.00036</v>
      </c>
      <c r="R28" s="73"/>
      <c r="S28" s="24">
        <f>'Page 4 - Non Core Income &amp; Exp'!S16</f>
        <v>-6786.00036</v>
      </c>
    </row>
    <row r="29" spans="3:24">
      <c r="C29" s="74" t="s">
        <v>192</v>
      </c>
      <c r="D29" s="73"/>
      <c r="E29" s="77">
        <f>'Page 4 - Non Core Income &amp; Exp'!E23</f>
        <v>520</v>
      </c>
      <c r="F29" s="27"/>
      <c r="G29" s="42">
        <f>'Page 4 - Non Core Income &amp; Exp'!G23</f>
        <v>548.70000000000005</v>
      </c>
      <c r="H29" s="29"/>
      <c r="I29" s="30">
        <f>E29-G29</f>
        <v>-28.700000000000045</v>
      </c>
      <c r="J29" s="73"/>
      <c r="K29" s="77">
        <f>'Page 4 - Non Core Income &amp; Exp'!K23</f>
        <v>4684</v>
      </c>
      <c r="L29" s="27"/>
      <c r="M29" s="42">
        <f>'Page 4 - Non Core Income &amp; Exp'!M23</f>
        <v>5623</v>
      </c>
      <c r="N29" s="29"/>
      <c r="O29" s="30">
        <f>K29-M29</f>
        <v>-939</v>
      </c>
      <c r="P29" s="73"/>
      <c r="Q29" s="31">
        <f>'Page 4 - Non Core Income &amp; Exp'!Q23</f>
        <v>6786</v>
      </c>
      <c r="R29" s="73"/>
      <c r="S29" s="31">
        <f>'Page 4 - Non Core Income &amp; Exp'!S23</f>
        <v>6786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</row>
    <row r="31" spans="3:24">
      <c r="C31" s="44" t="s">
        <v>184</v>
      </c>
      <c r="D31" s="73"/>
      <c r="E31" s="45">
        <f>(E28+E29)</f>
        <v>0</v>
      </c>
      <c r="F31" s="46"/>
      <c r="G31" s="47">
        <f>-(G28+G29)</f>
        <v>-28.700000000000045</v>
      </c>
      <c r="H31" s="48"/>
      <c r="I31" s="49">
        <f>SUM(I28:I29)</f>
        <v>-28.700000000000045</v>
      </c>
      <c r="J31" s="73"/>
      <c r="K31" s="45">
        <f>-(K28+K29)</f>
        <v>0</v>
      </c>
      <c r="L31" s="46"/>
      <c r="M31" s="47">
        <f>-(M28+M29)</f>
        <v>-164</v>
      </c>
      <c r="N31" s="48"/>
      <c r="O31" s="49">
        <f>SUM(O28:O29)</f>
        <v>-164</v>
      </c>
      <c r="P31" s="73"/>
      <c r="Q31" s="50">
        <f>SUM(Q28:Q30)</f>
        <v>-3.6000000000058208E-4</v>
      </c>
      <c r="R31" s="73"/>
      <c r="S31" s="50">
        <f>SUM(S28:S30)</f>
        <v>-3.6000000000058208E-4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</row>
    <row r="33" spans="3:25">
      <c r="C33" s="44" t="s">
        <v>188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</row>
    <row r="34" spans="3:25">
      <c r="C34" s="58" t="s">
        <v>95</v>
      </c>
      <c r="D34" s="73"/>
      <c r="E34" s="59">
        <f>E16+E28</f>
        <v>-12545.418209999998</v>
      </c>
      <c r="F34" s="176"/>
      <c r="G34" s="60">
        <f>G28+G16</f>
        <v>-11953.036399999999</v>
      </c>
      <c r="H34" s="272"/>
      <c r="I34" s="273">
        <f>E34-G34</f>
        <v>-592.38180999999895</v>
      </c>
      <c r="J34" s="73"/>
      <c r="K34" s="59">
        <f>K16+K28</f>
        <v>-97044.482880000025</v>
      </c>
      <c r="L34" s="176"/>
      <c r="M34" s="60">
        <f>M28+M16</f>
        <v>-98791.047450000013</v>
      </c>
      <c r="N34" s="272"/>
      <c r="O34" s="273">
        <f>K34-M34</f>
        <v>1746.5645699999877</v>
      </c>
      <c r="P34" s="73"/>
      <c r="Q34" s="24">
        <f>Q16+Q28</f>
        <v>-133821.45894618021</v>
      </c>
      <c r="R34" s="73"/>
      <c r="S34" s="24">
        <f>S16+S28</f>
        <v>-132178.07284000004</v>
      </c>
    </row>
    <row r="35" spans="3:25">
      <c r="C35" s="58" t="s">
        <v>21</v>
      </c>
      <c r="D35" s="73"/>
      <c r="E35" s="59">
        <f>E22+E29</f>
        <v>12545.8</v>
      </c>
      <c r="F35" s="27"/>
      <c r="G35" s="60">
        <f>G29+G22</f>
        <v>11990.2</v>
      </c>
      <c r="H35" s="39"/>
      <c r="I35" s="273">
        <f>E35-G35</f>
        <v>555.59999999999854</v>
      </c>
      <c r="J35" s="73"/>
      <c r="K35" s="59">
        <f>K22+K29</f>
        <v>97043.9</v>
      </c>
      <c r="L35" s="27"/>
      <c r="M35" s="60">
        <f>M29+M22</f>
        <v>98955</v>
      </c>
      <c r="N35" s="39"/>
      <c r="O35" s="273">
        <f>K35-M35</f>
        <v>-1911.1000000000058</v>
      </c>
      <c r="P35" s="73"/>
      <c r="Q35" s="24">
        <f>Q22+Q29</f>
        <v>133821</v>
      </c>
      <c r="R35" s="73"/>
      <c r="S35" s="24">
        <f>S22+S29</f>
        <v>132178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</row>
    <row r="37" spans="3:25">
      <c r="C37" s="44" t="s">
        <v>185</v>
      </c>
      <c r="D37" s="73"/>
      <c r="E37" s="45">
        <f>E25+E31</f>
        <v>-0.38179000000127417</v>
      </c>
      <c r="F37" s="46"/>
      <c r="G37" s="47">
        <f>G25+G31</f>
        <v>-38.163600000000997</v>
      </c>
      <c r="H37" s="48"/>
      <c r="I37" s="49">
        <f>SUM(I34:I36)-1</f>
        <v>-37.781810000000405</v>
      </c>
      <c r="J37" s="73"/>
      <c r="K37" s="45">
        <f>K25+K31</f>
        <v>-0.41711999996914528</v>
      </c>
      <c r="L37" s="46"/>
      <c r="M37" s="47">
        <f>M25+M31</f>
        <v>-163.95254999998724</v>
      </c>
      <c r="N37" s="48"/>
      <c r="O37" s="49">
        <f>SUM(O34:O36)+1</f>
        <v>-163.5354300000181</v>
      </c>
      <c r="P37" s="73"/>
      <c r="Q37" s="282">
        <f>SUM(Q34:Q36)</f>
        <v>-0.45894618020975031</v>
      </c>
      <c r="R37" s="73"/>
      <c r="S37" s="50">
        <f>S34+S35</f>
        <v>-7.2840000037103891E-2</v>
      </c>
      <c r="X37" s="61"/>
    </row>
    <row r="38" spans="3:25" ht="13.5" thickBot="1">
      <c r="C38" s="62"/>
      <c r="D38" s="117"/>
      <c r="E38" s="63"/>
      <c r="F38" s="64"/>
      <c r="G38" s="65"/>
      <c r="H38" s="66"/>
      <c r="I38" s="67"/>
      <c r="J38" s="117"/>
      <c r="K38" s="63"/>
      <c r="L38" s="64"/>
      <c r="M38" s="65"/>
      <c r="N38" s="66"/>
      <c r="O38" s="67"/>
      <c r="P38" s="117"/>
      <c r="Q38" s="68"/>
      <c r="R38" s="117"/>
      <c r="S38" s="62"/>
      <c r="X38" s="61"/>
      <c r="Y38" s="69"/>
    </row>
    <row r="39" spans="3:25" ht="13.5" thickBot="1">
      <c r="I39" s="70"/>
      <c r="O39" s="70"/>
      <c r="Q39" s="2"/>
    </row>
    <row r="40" spans="3:25" ht="15">
      <c r="C40" s="111" t="s">
        <v>31</v>
      </c>
      <c r="D40" s="112"/>
      <c r="E40" s="299" t="s">
        <v>189</v>
      </c>
      <c r="F40" s="300"/>
      <c r="G40" s="300"/>
      <c r="H40" s="301"/>
      <c r="I40" s="302"/>
      <c r="J40" s="112"/>
      <c r="K40" s="299" t="s">
        <v>198</v>
      </c>
      <c r="L40" s="300"/>
      <c r="M40" s="300"/>
      <c r="N40" s="301"/>
      <c r="O40" s="302"/>
      <c r="Q40" s="2"/>
    </row>
    <row r="41" spans="3:25" ht="30">
      <c r="C41" s="115" t="s">
        <v>89</v>
      </c>
      <c r="D41" s="73"/>
      <c r="E41" s="166" t="s">
        <v>33</v>
      </c>
      <c r="F41" s="307" t="s">
        <v>34</v>
      </c>
      <c r="G41" s="308"/>
      <c r="H41" s="309" t="s">
        <v>35</v>
      </c>
      <c r="I41" s="310"/>
      <c r="J41" s="73"/>
      <c r="K41" s="166" t="s">
        <v>33</v>
      </c>
      <c r="L41" s="307" t="s">
        <v>34</v>
      </c>
      <c r="M41" s="308"/>
      <c r="N41" s="307" t="s">
        <v>35</v>
      </c>
      <c r="O41" s="311"/>
    </row>
    <row r="42" spans="3:25">
      <c r="C42" s="113"/>
      <c r="D42" s="73"/>
      <c r="E42" s="15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14" t="s">
        <v>48</v>
      </c>
      <c r="D43" s="73"/>
      <c r="E43" s="51">
        <f>'Page 5 - Efficiency savings'!F7</f>
        <v>2699</v>
      </c>
      <c r="F43" s="55"/>
      <c r="G43" s="54">
        <f>'Page 5 - Efficiency savings'!G7</f>
        <v>0</v>
      </c>
      <c r="H43" s="55"/>
      <c r="I43" s="23">
        <f>SUM(E43:G43)</f>
        <v>2699</v>
      </c>
      <c r="J43" s="73"/>
      <c r="K43" s="51">
        <f>SUM('Page 5 - Efficiency savings'!I7)</f>
        <v>3952</v>
      </c>
      <c r="L43" s="55"/>
      <c r="M43" s="54">
        <f>SUM('Page 5 - Efficiency savings'!J7)</f>
        <v>0</v>
      </c>
      <c r="N43" s="55"/>
      <c r="O43" s="23">
        <f>K43+M43</f>
        <v>3952</v>
      </c>
    </row>
    <row r="44" spans="3:25">
      <c r="C44" s="114" t="s">
        <v>49</v>
      </c>
      <c r="D44" s="73"/>
      <c r="E44" s="51">
        <f>SUM('Page 5 - Efficiency savings'!F17)</f>
        <v>2756</v>
      </c>
      <c r="F44" s="55"/>
      <c r="G44" s="54">
        <f>SUM('Page 5 - Efficiency savings'!G17)</f>
        <v>343</v>
      </c>
      <c r="H44" s="55"/>
      <c r="I44" s="23">
        <f>SUM('Page 5 - Efficiency savings'!H17)</f>
        <v>3099</v>
      </c>
      <c r="J44" s="73"/>
      <c r="K44" s="51">
        <f>SUM('Page 5 - Efficiency savings'!I17)</f>
        <v>3952</v>
      </c>
      <c r="L44" s="55"/>
      <c r="M44" s="54">
        <f>SUM('Page 5 - Efficiency savings'!J17)</f>
        <v>343</v>
      </c>
      <c r="N44" s="55"/>
      <c r="O44" s="23">
        <f>K44+M44</f>
        <v>4295</v>
      </c>
    </row>
    <row r="45" spans="3:25" ht="13.5" thickBot="1">
      <c r="C45" s="115" t="s">
        <v>100</v>
      </c>
      <c r="D45" s="73"/>
      <c r="E45" s="160">
        <f>E44-E43</f>
        <v>57</v>
      </c>
      <c r="F45" s="165"/>
      <c r="G45" s="162">
        <f>G44-G43</f>
        <v>343</v>
      </c>
      <c r="H45" s="165"/>
      <c r="I45" s="163">
        <f>I44-I43</f>
        <v>400</v>
      </c>
      <c r="J45" s="73"/>
      <c r="K45" s="160">
        <f>K44-K43</f>
        <v>0</v>
      </c>
      <c r="L45" s="165"/>
      <c r="M45" s="162">
        <f>M44-M43</f>
        <v>343</v>
      </c>
      <c r="N45" s="165"/>
      <c r="O45" s="163">
        <f>O44-O43</f>
        <v>343</v>
      </c>
    </row>
    <row r="46" spans="3:25" ht="13.5" thickBot="1">
      <c r="C46" s="116"/>
      <c r="D46" s="117"/>
      <c r="E46" s="72"/>
      <c r="F46" s="72"/>
      <c r="G46" s="72"/>
      <c r="H46" s="72"/>
      <c r="I46" s="72"/>
      <c r="J46" s="117"/>
      <c r="K46" s="72"/>
      <c r="L46" s="72"/>
      <c r="M46" s="72"/>
      <c r="N46" s="72"/>
      <c r="O46" s="118"/>
    </row>
    <row r="47" spans="3:25" ht="13.5" thickBot="1"/>
    <row r="48" spans="3:25">
      <c r="C48" s="111" t="s">
        <v>51</v>
      </c>
      <c r="D48" s="112"/>
      <c r="E48" s="303" t="s">
        <v>203</v>
      </c>
      <c r="F48" s="304"/>
      <c r="G48" s="304"/>
      <c r="H48" s="304"/>
      <c r="I48" s="305"/>
      <c r="J48" s="112"/>
      <c r="K48" s="306" t="s">
        <v>1</v>
      </c>
      <c r="L48" s="297"/>
      <c r="M48" s="297"/>
      <c r="N48" s="297"/>
      <c r="O48" s="298"/>
      <c r="P48" s="112"/>
      <c r="Q48" s="9" t="s">
        <v>2</v>
      </c>
      <c r="R48" s="112"/>
      <c r="S48" s="9" t="s">
        <v>3</v>
      </c>
      <c r="T48" s="73"/>
      <c r="U48" s="73"/>
    </row>
    <row r="49" spans="3:21">
      <c r="C49" s="115" t="s">
        <v>193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1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13"/>
      <c r="D51" s="73"/>
      <c r="E51" s="159"/>
      <c r="F51" s="55"/>
      <c r="G51" s="158"/>
      <c r="H51" s="55"/>
      <c r="I51" s="56"/>
      <c r="J51" s="73"/>
      <c r="K51" s="159"/>
      <c r="L51" s="55"/>
      <c r="M51" s="158"/>
      <c r="N51" s="55"/>
      <c r="O51" s="56"/>
      <c r="P51" s="73"/>
      <c r="Q51" s="43"/>
      <c r="R51" s="73"/>
      <c r="S51" s="10"/>
      <c r="T51" s="73"/>
      <c r="U51" s="73"/>
    </row>
    <row r="52" spans="3:21">
      <c r="C52" s="114" t="s">
        <v>52</v>
      </c>
      <c r="D52" s="73"/>
      <c r="E52" s="51">
        <f>'Page 6 - Capital Expenditure'!D36</f>
        <v>101</v>
      </c>
      <c r="F52" s="55"/>
      <c r="G52" s="54">
        <f>'Page 6 - Capital Expenditure'!E36</f>
        <v>101</v>
      </c>
      <c r="H52" s="55"/>
      <c r="I52" s="56">
        <f>E52-G52</f>
        <v>0</v>
      </c>
      <c r="J52" s="73"/>
      <c r="K52" s="51">
        <f>E52</f>
        <v>101</v>
      </c>
      <c r="L52" s="55"/>
      <c r="M52" s="54">
        <f>G52</f>
        <v>101</v>
      </c>
      <c r="N52" s="55"/>
      <c r="O52" s="56">
        <f>K52-M52</f>
        <v>0</v>
      </c>
      <c r="P52" s="73"/>
      <c r="Q52" s="31">
        <f>'Page 6 - Capital Expenditure'!G36</f>
        <v>1233</v>
      </c>
      <c r="R52" s="73"/>
      <c r="S52" s="31">
        <f>'Page 6 - Capital Expenditure'!H36</f>
        <v>1233</v>
      </c>
      <c r="T52" s="73"/>
      <c r="U52" s="73"/>
    </row>
    <row r="53" spans="3:21">
      <c r="C53" s="114" t="s">
        <v>53</v>
      </c>
      <c r="D53" s="73"/>
      <c r="E53" s="51">
        <f>'Page 6 - Capital Expenditure'!D47</f>
        <v>686</v>
      </c>
      <c r="F53" s="55"/>
      <c r="G53" s="54">
        <f>'Page 6 - Capital Expenditure'!E47</f>
        <v>686</v>
      </c>
      <c r="H53" s="55"/>
      <c r="I53" s="56">
        <f>E53-G53</f>
        <v>0</v>
      </c>
      <c r="J53" s="73"/>
      <c r="K53" s="51">
        <f>E53</f>
        <v>686</v>
      </c>
      <c r="L53" s="55"/>
      <c r="M53" s="54">
        <f>G53</f>
        <v>686</v>
      </c>
      <c r="N53" s="55"/>
      <c r="O53" s="56">
        <f>K53-M53</f>
        <v>0</v>
      </c>
      <c r="P53" s="73"/>
      <c r="Q53" s="31">
        <f>'Page 6 - Capital Expenditure'!G47</f>
        <v>3322</v>
      </c>
      <c r="R53" s="73"/>
      <c r="S53" s="31">
        <f>'Page 6 - Capital Expenditure'!H47</f>
        <v>3322</v>
      </c>
      <c r="T53" s="73"/>
      <c r="U53" s="73"/>
    </row>
    <row r="54" spans="3:21">
      <c r="C54" s="114" t="s">
        <v>77</v>
      </c>
      <c r="D54" s="73"/>
      <c r="E54" s="51">
        <f>'Page 6 - Capital Expenditure'!D59</f>
        <v>0</v>
      </c>
      <c r="F54" s="55"/>
      <c r="G54" s="54">
        <f>'Page 6 - Capital Expenditure'!E59</f>
        <v>0</v>
      </c>
      <c r="H54" s="55"/>
      <c r="I54" s="56">
        <f>E54-G54</f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Expenditure'!G59</f>
        <v>4580</v>
      </c>
      <c r="R54" s="73"/>
      <c r="S54" s="31">
        <f>'Page 6 - Capital Expenditure'!H59</f>
        <v>4580</v>
      </c>
      <c r="T54" s="73"/>
      <c r="U54" s="73"/>
    </row>
    <row r="55" spans="3:21">
      <c r="C55" s="114" t="s">
        <v>54</v>
      </c>
      <c r="D55" s="73"/>
      <c r="E55" s="51">
        <f>'Page 6 - Capital Expenditure'!D72</f>
        <v>639</v>
      </c>
      <c r="F55" s="55"/>
      <c r="G55" s="54">
        <f>'Page 6 - Capital Expenditure'!E72</f>
        <v>639</v>
      </c>
      <c r="H55" s="55"/>
      <c r="I55" s="56">
        <f>E55-G55</f>
        <v>0</v>
      </c>
      <c r="J55" s="73"/>
      <c r="K55" s="51">
        <f>E55</f>
        <v>639</v>
      </c>
      <c r="L55" s="55"/>
      <c r="M55" s="54">
        <f>G55</f>
        <v>639</v>
      </c>
      <c r="N55" s="55"/>
      <c r="O55" s="56">
        <f>K55-M55</f>
        <v>0</v>
      </c>
      <c r="P55" s="73"/>
      <c r="Q55" s="31">
        <f>'Page 6 - Capital Expenditure'!G72</f>
        <v>812</v>
      </c>
      <c r="R55" s="73"/>
      <c r="S55" s="31">
        <f>'Page 6 - Capital Expenditure'!H72</f>
        <v>812</v>
      </c>
      <c r="T55" s="73"/>
      <c r="U55" s="73"/>
    </row>
    <row r="56" spans="3:21" ht="13.5" thickBot="1">
      <c r="C56" s="167" t="s">
        <v>55</v>
      </c>
      <c r="D56" s="117"/>
      <c r="E56" s="160">
        <f>SUM(E52:E55)</f>
        <v>1426</v>
      </c>
      <c r="F56" s="161"/>
      <c r="G56" s="162">
        <f>SUM(G52:G55)</f>
        <v>1426</v>
      </c>
      <c r="H56" s="161"/>
      <c r="I56" s="163">
        <f>SUM(I52:I55)</f>
        <v>0</v>
      </c>
      <c r="J56" s="117"/>
      <c r="K56" s="160">
        <f>SUM(K52:K55)</f>
        <v>1426</v>
      </c>
      <c r="L56" s="161"/>
      <c r="M56" s="162">
        <f>SUM(M52:M55)</f>
        <v>1426</v>
      </c>
      <c r="N56" s="161"/>
      <c r="O56" s="163">
        <f>SUM(O52:O55)</f>
        <v>0</v>
      </c>
      <c r="P56" s="117"/>
      <c r="Q56" s="164">
        <f>SUM(Q52:Q55)</f>
        <v>9947</v>
      </c>
      <c r="R56" s="117"/>
      <c r="S56" s="164">
        <f>SUM(S52:S55)</f>
        <v>9947</v>
      </c>
      <c r="T56" s="73"/>
      <c r="U56" s="73"/>
    </row>
    <row r="60" spans="3:21">
      <c r="C60" s="274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I45" sqref="I4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96</v>
      </c>
      <c r="I3" s="5"/>
      <c r="J3" s="2"/>
      <c r="M3" s="6">
        <v>-40726.600127729762</v>
      </c>
    </row>
    <row r="4" spans="3:24">
      <c r="C4" s="4" t="str">
        <f>Summary!C4</f>
        <v>2016-17 - December 2016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177</v>
      </c>
      <c r="E7" s="306" t="str">
        <f>Summary!E7</f>
        <v>December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255" t="s">
        <v>2</v>
      </c>
      <c r="S7" s="9" t="s">
        <v>3</v>
      </c>
    </row>
    <row r="8" spans="3:24">
      <c r="C8" s="10"/>
      <c r="E8" s="238" t="s">
        <v>4</v>
      </c>
      <c r="F8" s="239"/>
      <c r="G8" s="240" t="s">
        <v>5</v>
      </c>
      <c r="H8" s="12"/>
      <c r="I8" s="14" t="s">
        <v>6</v>
      </c>
      <c r="K8" s="238" t="s">
        <v>4</v>
      </c>
      <c r="L8" s="239"/>
      <c r="M8" s="240" t="s">
        <v>5</v>
      </c>
      <c r="N8" s="12"/>
      <c r="O8" s="14" t="s">
        <v>6</v>
      </c>
      <c r="Q8" s="256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7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8"/>
      <c r="S10" s="24"/>
      <c r="U10" s="16"/>
      <c r="V10" s="16"/>
      <c r="W10" s="16"/>
      <c r="X10" s="16"/>
    </row>
    <row r="11" spans="3:24">
      <c r="C11" s="74" t="s">
        <v>90</v>
      </c>
      <c r="E11" s="26">
        <v>-4924.6567866666664</v>
      </c>
      <c r="F11" s="27"/>
      <c r="G11" s="28">
        <v>-4924.6567866666664</v>
      </c>
      <c r="H11" s="29"/>
      <c r="I11" s="30">
        <v>0</v>
      </c>
      <c r="K11" s="26">
        <v>-32828.612320000029</v>
      </c>
      <c r="L11" s="27"/>
      <c r="M11" s="28">
        <v>-32828.612320000029</v>
      </c>
      <c r="N11" s="29"/>
      <c r="O11" s="30">
        <f>K11-M11</f>
        <v>0</v>
      </c>
      <c r="Q11" s="259">
        <v>-46888.671950000018</v>
      </c>
      <c r="S11" s="31">
        <f>-'[14]Summary-Old'!M31/1000-S12</f>
        <v>-48752.979280000021</v>
      </c>
      <c r="U11" s="16"/>
      <c r="V11" s="16"/>
      <c r="W11" s="16"/>
      <c r="X11" s="16"/>
    </row>
    <row r="12" spans="3:24">
      <c r="C12" s="10" t="s">
        <v>9</v>
      </c>
      <c r="E12" s="26">
        <v>-1556.5735833333331</v>
      </c>
      <c r="F12" s="27"/>
      <c r="G12" s="28">
        <v>-1556.5735833333331</v>
      </c>
      <c r="H12" s="29"/>
      <c r="I12" s="30">
        <v>0</v>
      </c>
      <c r="K12" s="41">
        <v>-14009.162249999998</v>
      </c>
      <c r="L12" s="27"/>
      <c r="M12" s="284">
        <v>-14009.162249999998</v>
      </c>
      <c r="N12" s="29"/>
      <c r="O12" s="30">
        <f>K12-M12</f>
        <v>0</v>
      </c>
      <c r="Q12" s="292">
        <v>-18678.882999999998</v>
      </c>
      <c r="S12" s="292">
        <f>-18556070/1000</f>
        <v>-18556.07</v>
      </c>
      <c r="U12" s="16"/>
      <c r="V12" s="16"/>
      <c r="W12" s="16"/>
      <c r="X12" s="16"/>
    </row>
    <row r="13" spans="3:24">
      <c r="C13" s="15" t="s">
        <v>175</v>
      </c>
      <c r="E13" s="45">
        <f>SUM(E11:E12)</f>
        <v>-6481.2303699999993</v>
      </c>
      <c r="F13" s="48"/>
      <c r="G13" s="47">
        <f>SUM(G11:G12)</f>
        <v>-6481.2303699999993</v>
      </c>
      <c r="H13" s="75"/>
      <c r="I13" s="49">
        <f>SUM(I11:I12)</f>
        <v>0</v>
      </c>
      <c r="J13" s="7"/>
      <c r="K13" s="45">
        <f>SUM(K11:K12)</f>
        <v>-46837.774570000023</v>
      </c>
      <c r="L13" s="48"/>
      <c r="M13" s="47">
        <f>SUM(M11:M12)</f>
        <v>-46837.774570000023</v>
      </c>
      <c r="N13" s="75"/>
      <c r="O13" s="49">
        <f>SUM(O11:O12)</f>
        <v>0</v>
      </c>
      <c r="P13" s="7"/>
      <c r="Q13" s="261">
        <f>SUM(Q11:Q12)</f>
        <v>-65567.55495000002</v>
      </c>
      <c r="R13" s="7"/>
      <c r="S13" s="261">
        <f>SUM(S11:S12)</f>
        <v>-67309.049280000021</v>
      </c>
      <c r="U13" s="16"/>
      <c r="V13" s="16"/>
      <c r="W13" s="16"/>
      <c r="X13" s="25"/>
    </row>
    <row r="14" spans="3:24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Q14" s="259"/>
      <c r="S14" s="31"/>
      <c r="U14" s="16"/>
      <c r="V14" s="16"/>
      <c r="W14" s="16"/>
      <c r="X14" s="25"/>
    </row>
    <row r="15" spans="3:24">
      <c r="C15" s="10" t="s">
        <v>10</v>
      </c>
      <c r="E15" s="77">
        <v>-227.238</v>
      </c>
      <c r="F15" s="27"/>
      <c r="G15" s="284">
        <v>76.700999999999993</v>
      </c>
      <c r="H15" s="29"/>
      <c r="I15" s="30">
        <f t="shared" ref="I15:I21" si="0">E15-G15</f>
        <v>-303.93899999999996</v>
      </c>
      <c r="K15" s="77">
        <v>-608.87</v>
      </c>
      <c r="L15" s="27"/>
      <c r="M15" s="28">
        <v>-578.47500000000002</v>
      </c>
      <c r="N15" s="29"/>
      <c r="O15" s="30">
        <f>K15-M15+1</f>
        <v>-29.394999999999982</v>
      </c>
      <c r="Q15" s="281">
        <v>-684.71600000000001</v>
      </c>
      <c r="S15" s="293">
        <v>0</v>
      </c>
      <c r="U15" s="16"/>
      <c r="V15" s="16"/>
      <c r="W15" s="16"/>
      <c r="X15" s="25"/>
    </row>
    <row r="16" spans="3:24">
      <c r="C16" s="74" t="s">
        <v>91</v>
      </c>
      <c r="E16" s="41">
        <v>-2522.3167649999991</v>
      </c>
      <c r="F16" s="27"/>
      <c r="G16" s="237">
        <v>-2406.1119215745566</v>
      </c>
      <c r="H16" s="29"/>
      <c r="I16" s="30">
        <f t="shared" si="0"/>
        <v>-116.2048434254425</v>
      </c>
      <c r="K16" s="41">
        <v>-20940.717474999998</v>
      </c>
      <c r="L16" s="27"/>
      <c r="M16" s="237">
        <v>-20951.761687667626</v>
      </c>
      <c r="N16" s="29"/>
      <c r="O16" s="30">
        <f>K16-M16</f>
        <v>11.044212667628017</v>
      </c>
      <c r="Q16" s="294">
        <v>-27962.9433712071</v>
      </c>
      <c r="S16" s="294">
        <v>-27058.027000000002</v>
      </c>
      <c r="U16" s="16"/>
      <c r="V16" s="16"/>
      <c r="W16" s="16"/>
      <c r="X16" s="25"/>
    </row>
    <row r="17" spans="3:24">
      <c r="C17" s="74" t="s">
        <v>92</v>
      </c>
      <c r="E17" s="41">
        <v>-726.20819916666676</v>
      </c>
      <c r="F17" s="27"/>
      <c r="G17" s="28">
        <v>-681.76686624999991</v>
      </c>
      <c r="H17" s="29"/>
      <c r="I17" s="30">
        <f t="shared" si="0"/>
        <v>-44.441332916666852</v>
      </c>
      <c r="K17" s="41">
        <v>-6157.8697925000006</v>
      </c>
      <c r="L17" s="27"/>
      <c r="M17" s="237">
        <v>-6157.8706189999994</v>
      </c>
      <c r="N17" s="29"/>
      <c r="O17" s="30">
        <f t="shared" ref="O17:O21" si="1">K17-M17</f>
        <v>8.2649999876593938E-4</v>
      </c>
      <c r="Q17" s="294">
        <v>-8210.4930616666661</v>
      </c>
      <c r="S17" s="259">
        <v>-8076.2</v>
      </c>
      <c r="U17" s="16"/>
      <c r="V17" s="16"/>
      <c r="W17" s="16"/>
      <c r="X17" s="25"/>
    </row>
    <row r="18" spans="3:24">
      <c r="C18" s="74" t="s">
        <v>93</v>
      </c>
      <c r="E18" s="41">
        <v>-1444.261389166667</v>
      </c>
      <c r="F18" s="27"/>
      <c r="G18" s="28">
        <v>-1309.5527721754429</v>
      </c>
      <c r="H18" s="29"/>
      <c r="I18" s="30">
        <f t="shared" si="0"/>
        <v>-134.70861699122406</v>
      </c>
      <c r="K18" s="41">
        <v>-12102.416502500002</v>
      </c>
      <c r="L18" s="27"/>
      <c r="M18" s="237">
        <v>-12102.417743332369</v>
      </c>
      <c r="N18" s="29"/>
      <c r="O18" s="30">
        <f>K18-M18</f>
        <v>1.2408323673298582E-3</v>
      </c>
      <c r="Q18" s="294">
        <v>-16083.211372988844</v>
      </c>
      <c r="S18" s="259">
        <v>-15740.02666</v>
      </c>
      <c r="U18" s="16"/>
      <c r="V18" s="16"/>
      <c r="W18" s="16"/>
      <c r="X18" s="25"/>
    </row>
    <row r="19" spans="3:24" ht="16.5" customHeight="1">
      <c r="C19" s="74" t="s">
        <v>94</v>
      </c>
      <c r="E19" s="41">
        <v>-101.10266666666665</v>
      </c>
      <c r="F19" s="27"/>
      <c r="G19" s="28">
        <v>-38.332999999999998</v>
      </c>
      <c r="H19" s="29"/>
      <c r="I19" s="30">
        <f t="shared" si="0"/>
        <v>-62.769666666666652</v>
      </c>
      <c r="K19" s="41">
        <v>-344.99599999999998</v>
      </c>
      <c r="L19" s="27"/>
      <c r="M19" s="237">
        <v>-344.99599999999998</v>
      </c>
      <c r="N19" s="29"/>
      <c r="O19" s="30">
        <f t="shared" si="1"/>
        <v>0</v>
      </c>
      <c r="Q19" s="294">
        <v>-459.99507698425697</v>
      </c>
      <c r="S19" s="259">
        <v>-358.81299999999999</v>
      </c>
      <c r="U19" s="16"/>
      <c r="V19" s="16"/>
      <c r="W19" s="16"/>
      <c r="X19" s="25"/>
    </row>
    <row r="20" spans="3:24">
      <c r="C20" s="74" t="s">
        <v>104</v>
      </c>
      <c r="E20" s="26">
        <v>-348.08082999999999</v>
      </c>
      <c r="F20" s="27"/>
      <c r="G20" s="28">
        <v>-323.29884000000004</v>
      </c>
      <c r="H20" s="29"/>
      <c r="I20" s="30">
        <f t="shared" si="0"/>
        <v>-24.781989999999951</v>
      </c>
      <c r="K20" s="26">
        <v>-3892.8585400000002</v>
      </c>
      <c r="L20" s="27"/>
      <c r="M20" s="28">
        <v>-3847.4172799999988</v>
      </c>
      <c r="N20" s="29"/>
      <c r="O20" s="30">
        <f>K20-M20</f>
        <v>-45.441260000001421</v>
      </c>
      <c r="Q20" s="259">
        <v>-4980</v>
      </c>
      <c r="S20" s="31">
        <v>-4899.9565400000001</v>
      </c>
      <c r="U20" s="16"/>
      <c r="V20" s="16"/>
      <c r="W20" s="16"/>
      <c r="X20" s="16"/>
    </row>
    <row r="21" spans="3:24">
      <c r="C21" s="171" t="s">
        <v>11</v>
      </c>
      <c r="E21" s="26">
        <v>-174.97998999999999</v>
      </c>
      <c r="F21" s="27"/>
      <c r="G21" s="28">
        <v>-269.44362999999998</v>
      </c>
      <c r="H21" s="29"/>
      <c r="I21" s="30">
        <f t="shared" si="0"/>
        <v>94.463639999999998</v>
      </c>
      <c r="K21" s="26">
        <v>-1474.98</v>
      </c>
      <c r="L21" s="27"/>
      <c r="M21" s="28">
        <v>-2511.3345500000005</v>
      </c>
      <c r="N21" s="29"/>
      <c r="O21" s="30">
        <f t="shared" si="1"/>
        <v>1036.3545500000005</v>
      </c>
      <c r="Q21" s="259">
        <v>-3086.5447533333299</v>
      </c>
      <c r="S21" s="31">
        <v>-1950</v>
      </c>
      <c r="U21" s="16"/>
      <c r="V21" s="16"/>
      <c r="W21" s="16"/>
      <c r="X21" s="16"/>
    </row>
    <row r="22" spans="3:24" ht="12" customHeight="1">
      <c r="C22" s="15" t="s">
        <v>12</v>
      </c>
      <c r="E22" s="45">
        <f>SUM(E15:E21)</f>
        <v>-5544.1878399999987</v>
      </c>
      <c r="F22" s="46"/>
      <c r="G22" s="47">
        <f>SUM(G15:G21)</f>
        <v>-4951.8060299999997</v>
      </c>
      <c r="H22" s="169"/>
      <c r="I22" s="49">
        <f>SUM(I15:I21)</f>
        <v>-592.38181000000009</v>
      </c>
      <c r="K22" s="45">
        <f>SUM(K15:K21)</f>
        <v>-45522.708310000002</v>
      </c>
      <c r="L22" s="46"/>
      <c r="M22" s="170">
        <f>SUM(M15:M21)</f>
        <v>-46494.272879999997</v>
      </c>
      <c r="N22" s="169"/>
      <c r="O22" s="49">
        <f>SUM(O15:O21)</f>
        <v>972.56456999999318</v>
      </c>
      <c r="Q22" s="261">
        <f>SUM(Q15:Q21)</f>
        <v>-61467.903636180192</v>
      </c>
      <c r="S22" s="50">
        <f>SUM(S15:S21)</f>
        <v>-58083.023200000003</v>
      </c>
      <c r="U22" s="16"/>
      <c r="V22" s="16"/>
      <c r="W22" s="16"/>
      <c r="X22" s="16"/>
    </row>
    <row r="23" spans="3:24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Q23" s="262"/>
      <c r="S23" s="10"/>
      <c r="U23" s="16"/>
      <c r="V23" s="16"/>
      <c r="W23" s="16"/>
      <c r="X23" s="16"/>
    </row>
    <row r="24" spans="3:24">
      <c r="C24" s="44" t="s">
        <v>176</v>
      </c>
      <c r="E24" s="45">
        <f>E22+E13</f>
        <v>-12025.418209999998</v>
      </c>
      <c r="F24" s="46"/>
      <c r="G24" s="47">
        <f>G22+G13</f>
        <v>-11433.036399999999</v>
      </c>
      <c r="H24" s="48"/>
      <c r="I24" s="49">
        <f>I22+I13</f>
        <v>-592.38181000000009</v>
      </c>
      <c r="K24" s="45">
        <f>K22+K13</f>
        <v>-92360.482880000025</v>
      </c>
      <c r="L24" s="46"/>
      <c r="M24" s="47">
        <f>M22+M13</f>
        <v>-93332.047450000013</v>
      </c>
      <c r="N24" s="48"/>
      <c r="O24" s="49">
        <f>O22+O13</f>
        <v>972.56456999999318</v>
      </c>
      <c r="Q24" s="261">
        <f>Q22+Q13</f>
        <v>-127035.4585861802</v>
      </c>
      <c r="S24" s="50">
        <f>S22+S13</f>
        <v>-125392.07248000003</v>
      </c>
      <c r="U24" s="16"/>
      <c r="V24" s="16"/>
      <c r="W24" s="16"/>
      <c r="X24" s="16"/>
    </row>
    <row r="25" spans="3:24" ht="13.5" thickBot="1">
      <c r="C25" s="62"/>
      <c r="E25" s="168"/>
      <c r="F25" s="64"/>
      <c r="G25" s="65"/>
      <c r="H25" s="66"/>
      <c r="I25" s="67"/>
      <c r="K25" s="63"/>
      <c r="L25" s="64"/>
      <c r="M25" s="65"/>
      <c r="N25" s="66"/>
      <c r="O25" s="67"/>
      <c r="Q25" s="263"/>
      <c r="S25" s="62"/>
      <c r="U25" s="16"/>
      <c r="V25" s="16"/>
      <c r="W25" s="16"/>
      <c r="X25" s="25"/>
    </row>
    <row r="26" spans="3:24">
      <c r="O26" s="254"/>
      <c r="Q26" s="2"/>
      <c r="U26" s="16"/>
      <c r="V26" s="16"/>
      <c r="W26" s="16"/>
      <c r="X26" s="25"/>
    </row>
    <row r="27" spans="3:24">
      <c r="E27" s="249"/>
      <c r="O27" s="245"/>
      <c r="Q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Y41"/>
  <sheetViews>
    <sheetView showGridLines="0" zoomScaleNormal="100" workbookViewId="0">
      <selection activeCell="B45" sqref="B45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242" customWidth="1"/>
    <col min="20" max="20" width="5.42578125" style="1" customWidth="1"/>
    <col min="21" max="21" width="9.140625" style="1" hidden="1" customWidth="1"/>
    <col min="22" max="22" width="10.140625" style="1" hidden="1" customWidth="1"/>
    <col min="23" max="23" width="9.140625" style="1" hidden="1" customWidth="1"/>
    <col min="24" max="24" width="11.28515625" style="1" hidden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101</v>
      </c>
      <c r="I3" s="5"/>
      <c r="J3" s="2"/>
      <c r="M3" s="6">
        <v>-40726.600127729762</v>
      </c>
    </row>
    <row r="4" spans="3:24">
      <c r="C4" s="4" t="str">
        <f>Summary!C4</f>
        <v>2016-17 - December 2016</v>
      </c>
      <c r="J4" s="2"/>
      <c r="Q4" s="2"/>
    </row>
    <row r="5" spans="3:24">
      <c r="C5" s="7"/>
    </row>
    <row r="6" spans="3:24" ht="13.5" thickBot="1">
      <c r="C6" s="7"/>
    </row>
    <row r="7" spans="3:24">
      <c r="C7" s="8"/>
      <c r="E7" s="306" t="str">
        <f>Summary!E7</f>
        <v>December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9" t="s">
        <v>2</v>
      </c>
      <c r="S7" s="255" t="s">
        <v>3</v>
      </c>
    </row>
    <row r="8" spans="3:24">
      <c r="C8" s="10"/>
      <c r="E8" s="238" t="s">
        <v>4</v>
      </c>
      <c r="F8" s="239"/>
      <c r="G8" s="240" t="s">
        <v>5</v>
      </c>
      <c r="H8" s="239"/>
      <c r="I8" s="241" t="s">
        <v>6</v>
      </c>
      <c r="J8" s="242"/>
      <c r="K8" s="238" t="s">
        <v>4</v>
      </c>
      <c r="L8" s="239"/>
      <c r="M8" s="240" t="s">
        <v>5</v>
      </c>
      <c r="N8" s="12"/>
      <c r="O8" s="14" t="s">
        <v>6</v>
      </c>
      <c r="Q8" s="15" t="s">
        <v>7</v>
      </c>
      <c r="S8" s="256" t="s">
        <v>4</v>
      </c>
      <c r="U8" s="16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57" t="s">
        <v>8</v>
      </c>
      <c r="U9" s="16"/>
      <c r="V9" s="16"/>
      <c r="W9" s="16"/>
      <c r="X9" s="16"/>
    </row>
    <row r="10" spans="3:24">
      <c r="C10" s="10"/>
      <c r="E10" s="51"/>
      <c r="F10" s="27"/>
      <c r="G10" s="173"/>
      <c r="H10" s="29"/>
      <c r="I10" s="30"/>
      <c r="K10" s="26"/>
      <c r="L10" s="27"/>
      <c r="M10" s="42"/>
      <c r="N10" s="29"/>
      <c r="O10" s="30"/>
      <c r="Q10" s="43"/>
      <c r="S10" s="264"/>
      <c r="U10" s="16"/>
      <c r="V10" s="25"/>
      <c r="W10" s="16"/>
      <c r="X10" s="16"/>
    </row>
    <row r="11" spans="3:24">
      <c r="C11" s="44" t="s">
        <v>97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Q11" s="43"/>
      <c r="S11" s="264"/>
      <c r="U11" s="16"/>
      <c r="V11" s="25"/>
      <c r="W11" s="16"/>
      <c r="X11" s="16"/>
    </row>
    <row r="12" spans="3:24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Q12" s="43"/>
      <c r="S12" s="264"/>
      <c r="U12" s="16"/>
      <c r="V12" s="25"/>
      <c r="W12" s="16"/>
      <c r="X12" s="16"/>
    </row>
    <row r="13" spans="3:24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Q13" s="43"/>
      <c r="S13" s="264"/>
      <c r="U13" s="16"/>
      <c r="V13" s="25"/>
      <c r="W13" s="16"/>
      <c r="X13" s="16"/>
    </row>
    <row r="14" spans="3:24">
      <c r="C14" s="10" t="s">
        <v>14</v>
      </c>
      <c r="E14" s="26">
        <v>1697.4</v>
      </c>
      <c r="F14" s="27"/>
      <c r="G14" s="42">
        <v>1819.5</v>
      </c>
      <c r="H14" s="29"/>
      <c r="I14" s="30">
        <f>E14-G14</f>
        <v>-122.09999999999991</v>
      </c>
      <c r="K14" s="26">
        <v>15291.3</v>
      </c>
      <c r="L14" s="27"/>
      <c r="M14" s="42">
        <v>17055.5</v>
      </c>
      <c r="N14" s="29"/>
      <c r="O14" s="30">
        <f>K14-M14</f>
        <v>-1764.2000000000007</v>
      </c>
      <c r="Q14" s="31">
        <v>22595.4</v>
      </c>
      <c r="S14" s="259">
        <v>19806</v>
      </c>
      <c r="U14" s="16">
        <f>M14/7*12</f>
        <v>29238</v>
      </c>
      <c r="V14" s="25"/>
      <c r="W14" s="16"/>
      <c r="X14" s="16">
        <f>M14/7*12</f>
        <v>29238</v>
      </c>
    </row>
    <row r="15" spans="3:24">
      <c r="C15" s="10" t="s">
        <v>15</v>
      </c>
      <c r="E15" s="26">
        <v>2392.6</v>
      </c>
      <c r="F15" s="27"/>
      <c r="G15" s="42">
        <v>2418.4</v>
      </c>
      <c r="H15" s="29"/>
      <c r="I15" s="30">
        <f>E15-G15</f>
        <v>-25.800000000000182</v>
      </c>
      <c r="K15" s="26">
        <v>21416.3</v>
      </c>
      <c r="L15" s="27"/>
      <c r="M15" s="42">
        <v>21630.3</v>
      </c>
      <c r="N15" s="29"/>
      <c r="O15" s="30">
        <f>K15-M15</f>
        <v>-214</v>
      </c>
      <c r="Q15" s="31">
        <v>28910.5</v>
      </c>
      <c r="S15" s="259">
        <v>27504</v>
      </c>
      <c r="U15" s="16">
        <f>M15/7*12</f>
        <v>37080.514285714286</v>
      </c>
      <c r="V15" s="16"/>
      <c r="W15" s="16"/>
      <c r="X15" s="16">
        <f>M15/7*12</f>
        <v>37080.514285714286</v>
      </c>
    </row>
    <row r="16" spans="3:24">
      <c r="C16" s="10" t="s">
        <v>16</v>
      </c>
      <c r="E16" s="26">
        <v>1082.8</v>
      </c>
      <c r="F16" s="27"/>
      <c r="G16" s="42">
        <v>1053.4000000000001</v>
      </c>
      <c r="H16" s="29"/>
      <c r="I16" s="30">
        <f>E16-G16</f>
        <v>29.399999999999864</v>
      </c>
      <c r="K16" s="26">
        <v>9828.4</v>
      </c>
      <c r="L16" s="27"/>
      <c r="M16" s="42">
        <v>9514</v>
      </c>
      <c r="N16" s="29"/>
      <c r="O16" s="30">
        <f>K16-M16</f>
        <v>314.39999999999964</v>
      </c>
      <c r="Q16" s="31">
        <v>12677.3</v>
      </c>
      <c r="S16" s="259">
        <v>11233</v>
      </c>
      <c r="U16" s="16">
        <f>M16/7*12</f>
        <v>16309.714285714286</v>
      </c>
      <c r="X16" s="16">
        <f>M16/7*12</f>
        <v>16309.714285714286</v>
      </c>
    </row>
    <row r="17" spans="3:24">
      <c r="C17" s="10" t="s">
        <v>17</v>
      </c>
      <c r="E17" s="26">
        <v>617.70000000000005</v>
      </c>
      <c r="F17" s="27"/>
      <c r="G17" s="42">
        <v>557.6</v>
      </c>
      <c r="H17" s="29"/>
      <c r="I17" s="30">
        <f>E17-G17</f>
        <v>60.100000000000023</v>
      </c>
      <c r="K17" s="26">
        <v>5558</v>
      </c>
      <c r="L17" s="27"/>
      <c r="M17" s="42">
        <v>5198.5</v>
      </c>
      <c r="N17" s="29"/>
      <c r="O17" s="30">
        <f>K17-M17</f>
        <v>359.5</v>
      </c>
      <c r="Q17" s="31">
        <v>6898.5</v>
      </c>
      <c r="S17" s="259">
        <v>7191</v>
      </c>
      <c r="U17" s="16">
        <f>M17/7*12</f>
        <v>8911.7142857142862</v>
      </c>
      <c r="X17" s="16">
        <f>M17/7*12</f>
        <v>8911.7142857142862</v>
      </c>
    </row>
    <row r="18" spans="3:24">
      <c r="C18" s="10" t="s">
        <v>18</v>
      </c>
      <c r="E18" s="26">
        <v>862.3</v>
      </c>
      <c r="F18" s="27"/>
      <c r="G18" s="42">
        <v>818</v>
      </c>
      <c r="H18" s="29"/>
      <c r="I18" s="30">
        <f>E18-G18</f>
        <v>44.299999999999955</v>
      </c>
      <c r="K18" s="26">
        <v>7652</v>
      </c>
      <c r="L18" s="27"/>
      <c r="M18" s="42">
        <v>7400.1</v>
      </c>
      <c r="N18" s="29"/>
      <c r="O18" s="30">
        <f>K18-M18</f>
        <v>251.89999999999964</v>
      </c>
      <c r="Q18" s="31">
        <v>10102.4</v>
      </c>
      <c r="S18" s="259">
        <v>9462</v>
      </c>
      <c r="U18" s="16">
        <f>M18/7*12</f>
        <v>12685.885714285714</v>
      </c>
      <c r="X18" s="16">
        <f>M18/7*12</f>
        <v>12685.885714285714</v>
      </c>
    </row>
    <row r="19" spans="3:24">
      <c r="C19" s="44" t="s">
        <v>19</v>
      </c>
      <c r="E19" s="45">
        <f>SUM(E14:E18)</f>
        <v>6652.8</v>
      </c>
      <c r="F19" s="46"/>
      <c r="G19" s="47">
        <f>SUM(G14:G18)</f>
        <v>6666.9</v>
      </c>
      <c r="H19" s="48"/>
      <c r="I19" s="49">
        <f>SUM(I14:I18)</f>
        <v>-14.10000000000025</v>
      </c>
      <c r="K19" s="45">
        <f>SUM(K14:K18)</f>
        <v>59746</v>
      </c>
      <c r="L19" s="46"/>
      <c r="M19" s="47">
        <f>SUM(M14:M18)</f>
        <v>60798.400000000001</v>
      </c>
      <c r="N19" s="48"/>
      <c r="O19" s="49">
        <f>SUM(O14:O18)</f>
        <v>-1052.4000000000015</v>
      </c>
      <c r="Q19" s="50">
        <f>SUM(Q14:Q18)</f>
        <v>81184.099999999991</v>
      </c>
      <c r="S19" s="261">
        <f>SUM(S14:S18)</f>
        <v>75196</v>
      </c>
      <c r="U19" s="50">
        <f>SUM(U14:U18)</f>
        <v>104225.82857142857</v>
      </c>
      <c r="X19" s="261">
        <f>SUM(X14:X18)</f>
        <v>104225.82857142857</v>
      </c>
    </row>
    <row r="20" spans="3:24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Q20" s="43"/>
      <c r="S20" s="264"/>
    </row>
    <row r="21" spans="3:24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Q21" s="43"/>
      <c r="S21" s="264"/>
    </row>
    <row r="22" spans="3:24">
      <c r="C22" s="57" t="s">
        <v>105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Q22" s="43"/>
      <c r="S22" s="264"/>
    </row>
    <row r="23" spans="3:24">
      <c r="C23" s="76" t="s">
        <v>107</v>
      </c>
      <c r="E23" s="26">
        <v>308.8</v>
      </c>
      <c r="F23" s="27"/>
      <c r="G23" s="42">
        <v>305.7</v>
      </c>
      <c r="H23" s="29"/>
      <c r="I23" s="30">
        <f>E23-G23</f>
        <v>3.1000000000000227</v>
      </c>
      <c r="K23" s="26">
        <v>2784.1</v>
      </c>
      <c r="L23" s="27"/>
      <c r="M23" s="42">
        <v>2995.5</v>
      </c>
      <c r="N23" s="29"/>
      <c r="O23" s="30">
        <f>K23-M23</f>
        <v>-211.40000000000009</v>
      </c>
      <c r="Q23" s="31">
        <v>4005.8</v>
      </c>
      <c r="S23" s="259">
        <v>3622</v>
      </c>
      <c r="U23" s="16">
        <f>M23/7*12</f>
        <v>5135.1428571428569</v>
      </c>
      <c r="X23" s="16">
        <f>M23/7*12</f>
        <v>5135.1428571428569</v>
      </c>
    </row>
    <row r="24" spans="3:24">
      <c r="C24" s="76" t="s">
        <v>108</v>
      </c>
      <c r="E24" s="26">
        <v>2655.6</v>
      </c>
      <c r="F24" s="27"/>
      <c r="G24" s="42">
        <v>2767.6</v>
      </c>
      <c r="H24" s="29"/>
      <c r="I24" s="30">
        <f>E24-G24</f>
        <v>-112</v>
      </c>
      <c r="K24" s="26">
        <v>16203</v>
      </c>
      <c r="L24" s="27"/>
      <c r="M24" s="42">
        <v>16754</v>
      </c>
      <c r="N24" s="29"/>
      <c r="O24" s="30">
        <f>K24-M24</f>
        <v>-551</v>
      </c>
      <c r="Q24" s="31">
        <v>21840.3</v>
      </c>
      <c r="S24" s="259">
        <v>20896</v>
      </c>
      <c r="U24" s="16">
        <f>M24/7*12</f>
        <v>28721.142857142859</v>
      </c>
      <c r="V24" s="1">
        <f>G24*12</f>
        <v>33211.199999999997</v>
      </c>
      <c r="X24" s="16">
        <f>M24/7*12</f>
        <v>28721.142857142859</v>
      </c>
    </row>
    <row r="25" spans="3:24">
      <c r="C25" s="76" t="s">
        <v>109</v>
      </c>
      <c r="E25" s="32">
        <v>66.5</v>
      </c>
      <c r="F25" s="33"/>
      <c r="G25" s="42">
        <v>103.7</v>
      </c>
      <c r="H25" s="33"/>
      <c r="I25" s="35">
        <f>E25-G25</f>
        <v>-37.200000000000003</v>
      </c>
      <c r="K25" s="32">
        <v>600.79999999999995</v>
      </c>
      <c r="L25" s="33"/>
      <c r="M25" s="42">
        <v>882.2</v>
      </c>
      <c r="N25" s="34"/>
      <c r="O25" s="35">
        <f>K25-M25</f>
        <v>-281.40000000000009</v>
      </c>
      <c r="Q25" s="36">
        <v>1175.8</v>
      </c>
      <c r="S25" s="260">
        <v>716</v>
      </c>
      <c r="U25" s="16">
        <f>M25/7*12</f>
        <v>1512.3428571428572</v>
      </c>
      <c r="X25" s="16">
        <f>M25/7*12</f>
        <v>1512.3428571428572</v>
      </c>
    </row>
    <row r="26" spans="3:24">
      <c r="C26" s="172" t="s">
        <v>106</v>
      </c>
      <c r="E26" s="37">
        <f>SUM(E23:E25)</f>
        <v>3030.9</v>
      </c>
      <c r="F26" s="27"/>
      <c r="G26" s="177">
        <f>SUM(G23:G25)</f>
        <v>3176.9999999999995</v>
      </c>
      <c r="H26" s="29"/>
      <c r="I26" s="40">
        <f>SUM(I23:I25)</f>
        <v>-146.09999999999997</v>
      </c>
      <c r="K26" s="37">
        <f>SUM(K23:K25)</f>
        <v>19587.899999999998</v>
      </c>
      <c r="L26" s="27"/>
      <c r="M26" s="177">
        <f>SUM(M23:M25)</f>
        <v>20631.7</v>
      </c>
      <c r="N26" s="29"/>
      <c r="O26" s="40">
        <f>SUM(O23:O25)</f>
        <v>-1043.8000000000002</v>
      </c>
      <c r="Q26" s="24">
        <f>SUM(Q23:Q25)</f>
        <v>27021.899999999998</v>
      </c>
      <c r="S26" s="258">
        <f>SUM(S23:S25)</f>
        <v>25234</v>
      </c>
      <c r="U26" s="24">
        <f>SUM(U23:U25)</f>
        <v>35368.628571428577</v>
      </c>
      <c r="X26" s="258">
        <f>SUM(X23:X25)-1</f>
        <v>35367.628571428577</v>
      </c>
    </row>
    <row r="27" spans="3:24">
      <c r="C27" s="57" t="s">
        <v>110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Q27" s="43"/>
      <c r="S27" s="264"/>
    </row>
    <row r="28" spans="3:24">
      <c r="C28" s="171" t="s">
        <v>111</v>
      </c>
      <c r="E28" s="26">
        <v>489.3</v>
      </c>
      <c r="F28" s="27"/>
      <c r="G28" s="42">
        <v>520.29999999999995</v>
      </c>
      <c r="H28" s="29"/>
      <c r="I28" s="30">
        <f>E28-G28</f>
        <v>-30.999999999999943</v>
      </c>
      <c r="K28" s="26">
        <v>3847</v>
      </c>
      <c r="L28" s="27"/>
      <c r="M28" s="42">
        <v>3863.7</v>
      </c>
      <c r="N28" s="29"/>
      <c r="O28" s="30">
        <f>K28-M28</f>
        <v>-16.699999999999818</v>
      </c>
      <c r="Q28" s="31">
        <v>5097.8999999999996</v>
      </c>
      <c r="S28" s="259">
        <v>4357</v>
      </c>
      <c r="U28" s="16">
        <f>M28/7*12</f>
        <v>6623.4857142857136</v>
      </c>
      <c r="X28" s="16">
        <f>M28/7*12</f>
        <v>6623.4857142857136</v>
      </c>
    </row>
    <row r="29" spans="3:24">
      <c r="C29" s="171" t="s">
        <v>112</v>
      </c>
      <c r="E29" s="26">
        <v>539.79999999999995</v>
      </c>
      <c r="F29" s="27"/>
      <c r="G29" s="42">
        <v>543</v>
      </c>
      <c r="H29" s="29"/>
      <c r="I29" s="30">
        <f>E29-G29</f>
        <v>-3.2000000000000455</v>
      </c>
      <c r="K29" s="26">
        <v>4855.5</v>
      </c>
      <c r="L29" s="27"/>
      <c r="M29" s="42">
        <v>4749.6000000000004</v>
      </c>
      <c r="N29" s="29"/>
      <c r="O29" s="30">
        <f>K29-M29</f>
        <v>105.89999999999964</v>
      </c>
      <c r="Q29" s="31">
        <v>6366.4</v>
      </c>
      <c r="S29" s="259">
        <v>6446</v>
      </c>
      <c r="U29" s="16">
        <f>M29/7*12</f>
        <v>8142.1714285714288</v>
      </c>
      <c r="X29" s="16">
        <f>M29/7*12</f>
        <v>8142.1714285714288</v>
      </c>
    </row>
    <row r="30" spans="3:24">
      <c r="C30" s="171" t="s">
        <v>113</v>
      </c>
      <c r="E30" s="32">
        <v>1312</v>
      </c>
      <c r="F30" s="33"/>
      <c r="G30" s="174">
        <v>534.29999999999995</v>
      </c>
      <c r="H30" s="34"/>
      <c r="I30" s="35">
        <f>E30-G30</f>
        <v>777.7</v>
      </c>
      <c r="K30" s="32">
        <v>4323.5</v>
      </c>
      <c r="L30" s="33"/>
      <c r="M30" s="174">
        <v>3289.6</v>
      </c>
      <c r="N30" s="34"/>
      <c r="O30" s="35">
        <f>K30-M30</f>
        <v>1033.9000000000001</v>
      </c>
      <c r="Q30" s="36">
        <v>7364.7</v>
      </c>
      <c r="S30" s="260">
        <f>14160-1</f>
        <v>14159</v>
      </c>
      <c r="U30" s="16">
        <f>M30/7*12</f>
        <v>5639.3142857142857</v>
      </c>
      <c r="X30" s="16">
        <f>M30/7*12</f>
        <v>5639.3142857142857</v>
      </c>
    </row>
    <row r="31" spans="3:24">
      <c r="C31" s="175" t="s">
        <v>114</v>
      </c>
      <c r="E31" s="37">
        <f>SUM(E28:E30)</f>
        <v>2341.1</v>
      </c>
      <c r="F31" s="27"/>
      <c r="G31" s="38">
        <f>SUM(G28:G30)</f>
        <v>1597.6</v>
      </c>
      <c r="H31" s="29"/>
      <c r="I31" s="40">
        <f>SUM(I28:I30)</f>
        <v>743.5</v>
      </c>
      <c r="K31" s="37">
        <f>SUM(K28:K30)</f>
        <v>13026</v>
      </c>
      <c r="L31" s="27"/>
      <c r="M31" s="243">
        <f>SUM(M28:M30)</f>
        <v>11902.9</v>
      </c>
      <c r="N31" s="29"/>
      <c r="O31" s="40">
        <f>SUM(O28:O30)</f>
        <v>1123.0999999999999</v>
      </c>
      <c r="Q31" s="24">
        <f>SUM(Q28:Q30)</f>
        <v>18829</v>
      </c>
      <c r="S31" s="258">
        <f>SUM(S28:S30)</f>
        <v>24962</v>
      </c>
      <c r="U31" s="24">
        <f>SUM(U28:U30)</f>
        <v>20404.971428571429</v>
      </c>
      <c r="X31" s="258">
        <f>SUM(X28:X30)</f>
        <v>20404.971428571429</v>
      </c>
    </row>
    <row r="32" spans="3:24">
      <c r="C32" s="175"/>
      <c r="E32" s="37"/>
      <c r="F32" s="27"/>
      <c r="G32" s="38"/>
      <c r="H32" s="29"/>
      <c r="I32" s="40"/>
      <c r="K32" s="26"/>
      <c r="L32" s="27"/>
      <c r="M32" s="42"/>
      <c r="N32" s="29"/>
      <c r="O32" s="30"/>
      <c r="Q32" s="31"/>
      <c r="S32" s="259"/>
    </row>
    <row r="33" spans="3:25">
      <c r="C33" s="44" t="s">
        <v>115</v>
      </c>
      <c r="E33" s="45">
        <f>E26+E31+1</f>
        <v>5373</v>
      </c>
      <c r="F33" s="46"/>
      <c r="G33" s="47">
        <f>G31+G26</f>
        <v>4774.5999999999995</v>
      </c>
      <c r="H33" s="48"/>
      <c r="I33" s="49">
        <f>I31+I26</f>
        <v>597.40000000000009</v>
      </c>
      <c r="K33" s="45">
        <f>K26+K31</f>
        <v>32613.899999999998</v>
      </c>
      <c r="L33" s="46"/>
      <c r="M33" s="47">
        <f>M31+M26</f>
        <v>32534.6</v>
      </c>
      <c r="N33" s="48"/>
      <c r="O33" s="49">
        <f>O31+O26</f>
        <v>79.299999999999727</v>
      </c>
      <c r="Q33" s="50">
        <f>Q26+Q31</f>
        <v>45850.899999999994</v>
      </c>
      <c r="S33" s="261">
        <f>S26+S31-1</f>
        <v>50195</v>
      </c>
      <c r="U33" s="50">
        <f>U26+U31</f>
        <v>55773.600000000006</v>
      </c>
      <c r="X33" s="261">
        <f>X26+X31-1</f>
        <v>55771.600000000006</v>
      </c>
    </row>
    <row r="34" spans="3:25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Q34" s="43"/>
      <c r="S34" s="264"/>
    </row>
    <row r="35" spans="3:25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Q35" s="43"/>
      <c r="S35" s="264"/>
    </row>
    <row r="36" spans="3:25">
      <c r="C36" s="44" t="s">
        <v>28</v>
      </c>
      <c r="E36" s="45">
        <f>SUM(E35:E35)+E33+E19</f>
        <v>12025.8</v>
      </c>
      <c r="F36" s="46"/>
      <c r="G36" s="47">
        <f>SUM(G35:G35)+G33+G19</f>
        <v>11441.5</v>
      </c>
      <c r="H36" s="48"/>
      <c r="I36" s="49">
        <f>SUM(I35:I35)+I33+I19</f>
        <v>583.29999999999984</v>
      </c>
      <c r="K36" s="45">
        <f>SUM(K35:K35)+K33+K19</f>
        <v>92359.9</v>
      </c>
      <c r="L36" s="46"/>
      <c r="M36" s="47">
        <f>SUM(M35:M35)+M33+M19-1</f>
        <v>93332</v>
      </c>
      <c r="N36" s="48"/>
      <c r="O36" s="49">
        <f>SUM(O35:O35)+O33+O19</f>
        <v>-973.10000000000173</v>
      </c>
      <c r="Q36" s="50">
        <f>SUM(Q35:Q35)+Q33+Q19</f>
        <v>127034.99999999999</v>
      </c>
      <c r="S36" s="261">
        <f>SUM(S35:S35)+S33+S19+1</f>
        <v>125392</v>
      </c>
      <c r="U36" s="50">
        <f>SUM(U35:U35)+U33+U19</f>
        <v>159999.42857142858</v>
      </c>
      <c r="X36" s="261">
        <f>SUM(X35:X35)+X33+X19+1</f>
        <v>159998.42857142858</v>
      </c>
    </row>
    <row r="37" spans="3:25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Q37" s="68"/>
      <c r="S37" s="265"/>
      <c r="U37" s="217" t="e">
        <f>#REF!-#REF!</f>
        <v>#REF!</v>
      </c>
      <c r="V37" s="217" t="e">
        <f>#REF!+#REF!</f>
        <v>#REF!</v>
      </c>
      <c r="W37" s="1" t="e">
        <f>#REF!-500</f>
        <v>#REF!</v>
      </c>
      <c r="X37" s="61"/>
      <c r="Y37" s="69"/>
    </row>
    <row r="38" spans="3:25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53"/>
      <c r="Q38" s="55"/>
      <c r="S38" s="266"/>
      <c r="U38" s="217" t="e">
        <f>U37-500</f>
        <v>#REF!</v>
      </c>
      <c r="V38" s="217" t="e">
        <f>V37+500</f>
        <v>#REF!</v>
      </c>
      <c r="W38" s="217" t="e">
        <f>W37-#REF!</f>
        <v>#REF!</v>
      </c>
      <c r="X38" s="1">
        <v>121805</v>
      </c>
    </row>
    <row r="39" spans="3:25" hidden="1">
      <c r="E39" s="249" t="s">
        <v>168</v>
      </c>
      <c r="Q39" s="250" t="s">
        <v>169</v>
      </c>
      <c r="U39" s="217" t="e">
        <f>#REF!-#REF!</f>
        <v>#REF!</v>
      </c>
      <c r="V39" s="217" t="e">
        <f>#REF!-#REF!</f>
        <v>#REF!</v>
      </c>
    </row>
    <row r="40" spans="3:25" hidden="1">
      <c r="O40" s="244"/>
      <c r="Q40" s="250" t="s">
        <v>170</v>
      </c>
    </row>
    <row r="41" spans="3:25">
      <c r="S41" s="270"/>
      <c r="X41" s="217">
        <f>X38-Q36</f>
        <v>-5229.9999999999854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29"/>
  <sheetViews>
    <sheetView workbookViewId="0">
      <selection activeCell="A38" sqref="A38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5.5703125" style="1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196</v>
      </c>
      <c r="I3" s="5"/>
      <c r="J3" s="2"/>
      <c r="M3" s="6">
        <v>-40726.600127729762</v>
      </c>
    </row>
    <row r="4" spans="3:24">
      <c r="C4" s="4" t="str">
        <f>Summary!C4</f>
        <v>2016-17 - December 2016</v>
      </c>
      <c r="J4" s="2"/>
      <c r="Q4" s="2"/>
    </row>
    <row r="5" spans="3:24">
      <c r="C5" s="7"/>
    </row>
    <row r="6" spans="3:24" ht="13.5" thickBot="1">
      <c r="C6" s="7"/>
    </row>
    <row r="7" spans="3:24">
      <c r="C7" s="8" t="s">
        <v>194</v>
      </c>
      <c r="E7" s="306" t="str">
        <f>Summary!E7</f>
        <v>December</v>
      </c>
      <c r="F7" s="297"/>
      <c r="G7" s="297"/>
      <c r="H7" s="297"/>
      <c r="I7" s="298"/>
      <c r="K7" s="296" t="s">
        <v>1</v>
      </c>
      <c r="L7" s="297"/>
      <c r="M7" s="297"/>
      <c r="N7" s="297"/>
      <c r="O7" s="298"/>
      <c r="Q7" s="255" t="s">
        <v>2</v>
      </c>
      <c r="S7" s="9" t="s">
        <v>3</v>
      </c>
    </row>
    <row r="8" spans="3:24">
      <c r="C8" s="10"/>
      <c r="E8" s="238" t="s">
        <v>4</v>
      </c>
      <c r="F8" s="239"/>
      <c r="G8" s="240" t="s">
        <v>5</v>
      </c>
      <c r="H8" s="12"/>
      <c r="I8" s="14" t="s">
        <v>6</v>
      </c>
      <c r="K8" s="238" t="s">
        <v>4</v>
      </c>
      <c r="L8" s="239"/>
      <c r="M8" s="240" t="s">
        <v>5</v>
      </c>
      <c r="N8" s="12"/>
      <c r="O8" s="14" t="s">
        <v>6</v>
      </c>
      <c r="Q8" s="256" t="s">
        <v>7</v>
      </c>
      <c r="S8" s="15" t="s">
        <v>4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57" t="s">
        <v>8</v>
      </c>
      <c r="S9" s="21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8"/>
      <c r="S10" s="24"/>
      <c r="U10" s="16"/>
      <c r="V10" s="16"/>
      <c r="W10" s="16"/>
      <c r="X10" s="16"/>
    </row>
    <row r="11" spans="3:24">
      <c r="C11" s="44" t="s">
        <v>178</v>
      </c>
      <c r="E11" s="277"/>
      <c r="F11" s="27"/>
      <c r="G11" s="38"/>
      <c r="H11" s="39"/>
      <c r="I11" s="40"/>
      <c r="K11" s="37"/>
      <c r="L11" s="27"/>
      <c r="M11" s="38"/>
      <c r="N11" s="39"/>
      <c r="O11" s="40"/>
      <c r="Q11" s="258"/>
      <c r="S11" s="24"/>
      <c r="U11" s="16"/>
      <c r="V11" s="16"/>
      <c r="W11" s="16"/>
      <c r="X11" s="16"/>
    </row>
    <row r="12" spans="3:24">
      <c r="C12" s="74" t="s">
        <v>22</v>
      </c>
      <c r="E12" s="278">
        <v>-520</v>
      </c>
      <c r="F12" s="27"/>
      <c r="G12" s="42">
        <v>-520</v>
      </c>
      <c r="H12" s="29"/>
      <c r="I12" s="30">
        <f>E12-G12</f>
        <v>0</v>
      </c>
      <c r="K12" s="26">
        <v>-4684</v>
      </c>
      <c r="L12" s="27"/>
      <c r="M12" s="289">
        <v>-4684</v>
      </c>
      <c r="N12" s="29"/>
      <c r="O12" s="30">
        <f>K12-M12</f>
        <v>0</v>
      </c>
      <c r="Q12" s="269">
        <f>-6246.00036+1</f>
        <v>-6245.00036</v>
      </c>
      <c r="R12" s="73"/>
      <c r="S12" s="78">
        <f>Q12</f>
        <v>-6245.00036</v>
      </c>
      <c r="U12" s="16"/>
      <c r="V12" s="16"/>
      <c r="W12" s="16"/>
      <c r="X12" s="16"/>
    </row>
    <row r="13" spans="3:24">
      <c r="C13" s="74" t="s">
        <v>23</v>
      </c>
      <c r="E13" s="278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75">
        <v>0</v>
      </c>
      <c r="N13" s="29"/>
      <c r="O13" s="30">
        <f>K13-M13</f>
        <v>0</v>
      </c>
      <c r="Q13" s="269">
        <v>-500</v>
      </c>
      <c r="R13" s="73"/>
      <c r="S13" s="78">
        <v>-500</v>
      </c>
      <c r="U13" s="16"/>
      <c r="V13" s="16"/>
      <c r="W13" s="16"/>
      <c r="X13" s="25"/>
    </row>
    <row r="14" spans="3:24">
      <c r="C14" s="74" t="s">
        <v>179</v>
      </c>
      <c r="E14" s="278"/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89">
        <v>-775</v>
      </c>
      <c r="N14" s="29"/>
      <c r="O14" s="30">
        <f>K14-M14</f>
        <v>775</v>
      </c>
      <c r="Q14" s="269">
        <v>-40</v>
      </c>
      <c r="R14" s="73"/>
      <c r="S14" s="78">
        <v>-40</v>
      </c>
      <c r="U14" s="16"/>
      <c r="V14" s="16"/>
      <c r="W14" s="16"/>
      <c r="X14" s="25"/>
    </row>
    <row r="15" spans="3:24">
      <c r="C15" s="74" t="s">
        <v>22</v>
      </c>
      <c r="E15" s="285">
        <v>0</v>
      </c>
      <c r="F15" s="286"/>
      <c r="G15" s="287">
        <v>0</v>
      </c>
      <c r="H15" s="288"/>
      <c r="I15" s="30">
        <f>E15-G15</f>
        <v>0</v>
      </c>
      <c r="J15" s="274"/>
      <c r="K15" s="77">
        <v>0</v>
      </c>
      <c r="L15" s="283"/>
      <c r="M15" s="291">
        <v>0</v>
      </c>
      <c r="N15" s="39"/>
      <c r="O15" s="30">
        <f>K15-M15</f>
        <v>0</v>
      </c>
      <c r="Q15" s="281">
        <v>-1</v>
      </c>
      <c r="S15" s="24">
        <v>-1</v>
      </c>
      <c r="U15" s="16"/>
      <c r="V15" s="16"/>
      <c r="W15" s="16"/>
      <c r="X15" s="25"/>
    </row>
    <row r="16" spans="3:24">
      <c r="C16" s="44" t="s">
        <v>197</v>
      </c>
      <c r="E16" s="45">
        <f>SUM(E12:E15)</f>
        <v>-520</v>
      </c>
      <c r="F16" s="33"/>
      <c r="G16" s="271">
        <f>SUM(G12:G15)</f>
        <v>-520</v>
      </c>
      <c r="H16" s="48"/>
      <c r="I16" s="49">
        <f>SUM(I12:I15)</f>
        <v>0</v>
      </c>
      <c r="K16" s="45">
        <f>SUM(K12:K15)</f>
        <v>-4684</v>
      </c>
      <c r="L16" s="46"/>
      <c r="M16" s="47">
        <f>SUM(M12:M15)</f>
        <v>-5459</v>
      </c>
      <c r="N16" s="48"/>
      <c r="O16" s="49">
        <f>SUM(O12:O15)</f>
        <v>775</v>
      </c>
      <c r="Q16" s="261">
        <f>SUM(Q12:Q15)</f>
        <v>-6786.00036</v>
      </c>
      <c r="S16" s="261">
        <f>SUM(S12:S15)</f>
        <v>-6786.00036</v>
      </c>
      <c r="U16" s="16"/>
      <c r="V16" s="16"/>
      <c r="W16" s="16"/>
      <c r="X16" s="25"/>
    </row>
    <row r="17" spans="3:24">
      <c r="C17" s="44"/>
      <c r="E17" s="37"/>
      <c r="F17" s="27"/>
      <c r="G17" s="38"/>
      <c r="H17" s="39"/>
      <c r="I17" s="40"/>
      <c r="K17" s="37"/>
      <c r="L17" s="27"/>
      <c r="M17" s="38"/>
      <c r="N17" s="39"/>
      <c r="O17" s="40"/>
      <c r="Q17" s="258"/>
      <c r="S17" s="258"/>
      <c r="U17" s="16"/>
      <c r="V17" s="16"/>
      <c r="W17" s="16"/>
      <c r="X17" s="25"/>
    </row>
    <row r="18" spans="3:24">
      <c r="C18" s="44" t="s">
        <v>98</v>
      </c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4"/>
      <c r="S18" s="258"/>
      <c r="U18" s="16"/>
      <c r="V18" s="16"/>
      <c r="W18" s="16"/>
      <c r="X18" s="25"/>
    </row>
    <row r="19" spans="3:24">
      <c r="C19" s="10" t="s">
        <v>22</v>
      </c>
      <c r="E19" s="59">
        <v>520</v>
      </c>
      <c r="F19" s="176"/>
      <c r="G19" s="60">
        <v>533</v>
      </c>
      <c r="H19" s="39"/>
      <c r="I19" s="30">
        <f>E19-G19-1</f>
        <v>-14</v>
      </c>
      <c r="K19" s="59">
        <v>4684</v>
      </c>
      <c r="L19" s="176"/>
      <c r="M19" s="60">
        <v>4758</v>
      </c>
      <c r="N19" s="39"/>
      <c r="O19" s="30">
        <f>K19-M19</f>
        <v>-74</v>
      </c>
      <c r="Q19" s="31">
        <f>S19</f>
        <v>6245</v>
      </c>
      <c r="S19" s="269">
        <v>6245</v>
      </c>
      <c r="U19" s="16"/>
      <c r="V19" s="16"/>
      <c r="W19" s="16"/>
      <c r="X19" s="25"/>
    </row>
    <row r="20" spans="3:24" ht="16.5" customHeight="1">
      <c r="C20" s="71" t="s">
        <v>201</v>
      </c>
      <c r="E20" s="59">
        <v>0</v>
      </c>
      <c r="F20" s="176"/>
      <c r="G20" s="60">
        <v>0</v>
      </c>
      <c r="H20" s="39"/>
      <c r="I20" s="30">
        <f>E20-G20</f>
        <v>0</v>
      </c>
      <c r="K20" s="59">
        <v>0</v>
      </c>
      <c r="L20" s="176"/>
      <c r="M20" s="60">
        <v>0</v>
      </c>
      <c r="N20" s="39"/>
      <c r="O20" s="30">
        <f>K20-M20</f>
        <v>0</v>
      </c>
      <c r="Q20" s="31">
        <v>500</v>
      </c>
      <c r="S20" s="269">
        <v>500</v>
      </c>
      <c r="U20" s="16"/>
      <c r="V20" s="16"/>
      <c r="W20" s="16"/>
      <c r="X20" s="25"/>
    </row>
    <row r="21" spans="3:24">
      <c r="C21" s="71" t="s">
        <v>24</v>
      </c>
      <c r="E21" s="59">
        <v>0</v>
      </c>
      <c r="F21" s="176"/>
      <c r="G21" s="60">
        <v>15</v>
      </c>
      <c r="H21" s="39"/>
      <c r="I21" s="30">
        <f>E21-G21</f>
        <v>-15</v>
      </c>
      <c r="K21" s="59">
        <v>0</v>
      </c>
      <c r="L21" s="176"/>
      <c r="M21" s="276">
        <v>865</v>
      </c>
      <c r="N21" s="39"/>
      <c r="O21" s="30">
        <f>K21-M21</f>
        <v>-865</v>
      </c>
      <c r="Q21" s="31">
        <f>S21</f>
        <v>40</v>
      </c>
      <c r="S21" s="269">
        <v>40</v>
      </c>
      <c r="U21" s="16"/>
      <c r="V21" s="16"/>
      <c r="W21" s="16"/>
      <c r="X21" s="16"/>
    </row>
    <row r="22" spans="3:24">
      <c r="C22" s="71" t="s">
        <v>200</v>
      </c>
      <c r="E22" s="59">
        <v>0</v>
      </c>
      <c r="F22" s="176"/>
      <c r="G22" s="60">
        <v>0</v>
      </c>
      <c r="H22" s="39"/>
      <c r="I22" s="30">
        <v>0</v>
      </c>
      <c r="K22" s="59">
        <v>0</v>
      </c>
      <c r="L22" s="176"/>
      <c r="M22" s="276">
        <v>0</v>
      </c>
      <c r="N22" s="39"/>
      <c r="O22" s="35">
        <f>K22-M22</f>
        <v>0</v>
      </c>
      <c r="Q22" s="31">
        <v>1</v>
      </c>
      <c r="S22" s="269">
        <v>1</v>
      </c>
      <c r="U22" s="16"/>
      <c r="V22" s="16"/>
      <c r="W22" s="16"/>
      <c r="X22" s="16"/>
    </row>
    <row r="23" spans="3:24">
      <c r="C23" s="44" t="s">
        <v>29</v>
      </c>
      <c r="E23" s="45">
        <f>SUM(E19:E22)</f>
        <v>520</v>
      </c>
      <c r="F23" s="48"/>
      <c r="G23" s="47">
        <f>SUM(G19:G22)+0.7</f>
        <v>548.70000000000005</v>
      </c>
      <c r="H23" s="75"/>
      <c r="I23" s="49">
        <f>SUM(I19:I21)</f>
        <v>-29</v>
      </c>
      <c r="K23" s="45">
        <f>SUM(K19:K22)</f>
        <v>4684</v>
      </c>
      <c r="L23" s="48"/>
      <c r="M23" s="47">
        <f>SUM(M19:M22)</f>
        <v>5623</v>
      </c>
      <c r="N23" s="75"/>
      <c r="O23" s="290">
        <f>SUM(O19:O21)</f>
        <v>-939</v>
      </c>
      <c r="Q23" s="50">
        <f>SUM(Q19:Q22)</f>
        <v>6786</v>
      </c>
      <c r="S23" s="261">
        <f>SUM(S19:S22)</f>
        <v>6786</v>
      </c>
      <c r="U23" s="16"/>
      <c r="V23" s="16"/>
      <c r="W23" s="16"/>
      <c r="X23" s="16"/>
    </row>
    <row r="24" spans="3:24">
      <c r="C24" s="10"/>
      <c r="E24" s="26"/>
      <c r="F24" s="27"/>
      <c r="G24" s="42"/>
      <c r="H24" s="29"/>
      <c r="I24" s="30"/>
      <c r="K24" s="26"/>
      <c r="L24" s="27"/>
      <c r="M24" s="42"/>
      <c r="N24" s="29"/>
      <c r="O24" s="30"/>
      <c r="Q24" s="262"/>
      <c r="S24" s="10"/>
      <c r="U24" s="16"/>
      <c r="V24" s="16"/>
      <c r="W24" s="16"/>
      <c r="X24" s="16"/>
    </row>
    <row r="25" spans="3:24">
      <c r="C25" s="44" t="s">
        <v>195</v>
      </c>
      <c r="E25" s="45">
        <f>E16+E23</f>
        <v>0</v>
      </c>
      <c r="F25" s="46"/>
      <c r="G25" s="47">
        <f>-(G16+G23)</f>
        <v>-28.700000000000045</v>
      </c>
      <c r="H25" s="48"/>
      <c r="I25" s="49">
        <f>(I16+I23)</f>
        <v>-29</v>
      </c>
      <c r="K25" s="45">
        <f>K16+K23</f>
        <v>0</v>
      </c>
      <c r="L25" s="46"/>
      <c r="M25" s="47">
        <f>-(M16+M23)</f>
        <v>-164</v>
      </c>
      <c r="N25" s="48"/>
      <c r="O25" s="49">
        <f>(O16+O23)</f>
        <v>-164</v>
      </c>
      <c r="Q25" s="261">
        <f>Q16+Q23</f>
        <v>-3.6000000000058208E-4</v>
      </c>
      <c r="S25" s="261">
        <f>S16+S23</f>
        <v>-3.6000000000058208E-4</v>
      </c>
      <c r="U25" s="16"/>
      <c r="V25" s="16"/>
      <c r="W25" s="16"/>
      <c r="X25" s="16"/>
    </row>
    <row r="26" spans="3:24">
      <c r="C26" s="44"/>
      <c r="E26" s="277"/>
      <c r="F26" s="279"/>
      <c r="G26" s="177"/>
      <c r="H26" s="39"/>
      <c r="I26" s="40"/>
      <c r="K26" s="37"/>
      <c r="L26" s="27"/>
      <c r="M26" s="38"/>
      <c r="N26" s="39"/>
      <c r="O26" s="40"/>
      <c r="Q26" s="258"/>
      <c r="S26" s="24"/>
      <c r="U26" s="16"/>
      <c r="V26" s="16"/>
      <c r="W26" s="16"/>
      <c r="X26" s="16"/>
    </row>
    <row r="27" spans="3:24" ht="13.5" thickBot="1">
      <c r="C27" s="62"/>
      <c r="E27" s="168"/>
      <c r="F27" s="64"/>
      <c r="G27" s="65"/>
      <c r="H27" s="66"/>
      <c r="I27" s="67"/>
      <c r="K27" s="63"/>
      <c r="L27" s="64"/>
      <c r="M27" s="65"/>
      <c r="N27" s="66"/>
      <c r="O27" s="67"/>
      <c r="Q27" s="263"/>
      <c r="S27" s="62"/>
      <c r="U27" s="16"/>
      <c r="V27" s="16"/>
      <c r="W27" s="16"/>
      <c r="X27" s="16"/>
    </row>
    <row r="28" spans="3:24">
      <c r="O28" s="254"/>
      <c r="Q28" s="2"/>
      <c r="V28" s="16"/>
    </row>
    <row r="29" spans="3:24">
      <c r="E29" s="249"/>
      <c r="O29" s="245"/>
      <c r="Q29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3"/>
  <sheetViews>
    <sheetView workbookViewId="0">
      <selection activeCell="I18" sqref="I18"/>
    </sheetView>
  </sheetViews>
  <sheetFormatPr defaultRowHeight="12.75"/>
  <cols>
    <col min="1" max="1" width="3.42578125" customWidth="1"/>
    <col min="2" max="2" width="57.7109375" bestFit="1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9"/>
      <c r="B1" s="80"/>
      <c r="C1" s="80"/>
      <c r="D1" s="81"/>
      <c r="E1" s="81"/>
      <c r="F1" s="81"/>
      <c r="G1" s="81"/>
      <c r="H1" s="81"/>
      <c r="I1" s="81"/>
      <c r="J1" s="81"/>
      <c r="K1" s="81"/>
      <c r="L1" s="82"/>
    </row>
    <row r="2" spans="1:12" ht="15">
      <c r="A2" s="83"/>
      <c r="B2" s="340" t="s">
        <v>203</v>
      </c>
      <c r="C2" s="341"/>
      <c r="D2" s="342"/>
      <c r="E2" s="342"/>
      <c r="F2" s="343"/>
      <c r="G2" s="84"/>
      <c r="H2" s="328" t="s">
        <v>99</v>
      </c>
      <c r="I2" s="329"/>
      <c r="J2" s="330"/>
      <c r="K2" s="84"/>
      <c r="L2" s="85"/>
    </row>
    <row r="3" spans="1:12" ht="14.25">
      <c r="A3" s="86"/>
      <c r="B3" s="87"/>
      <c r="C3" s="88"/>
      <c r="D3" s="89"/>
      <c r="E3" s="89"/>
      <c r="F3" s="90"/>
      <c r="G3" s="90"/>
      <c r="H3" s="90"/>
      <c r="I3" s="90"/>
      <c r="J3" s="90"/>
      <c r="K3" s="90"/>
      <c r="L3" s="91"/>
    </row>
    <row r="4" spans="1:12" ht="15">
      <c r="A4" s="86"/>
      <c r="B4" s="331" t="s">
        <v>32</v>
      </c>
      <c r="C4" s="332"/>
      <c r="D4" s="332"/>
      <c r="E4" s="333"/>
      <c r="F4" s="337" t="s">
        <v>190</v>
      </c>
      <c r="G4" s="338"/>
      <c r="H4" s="339"/>
      <c r="I4" s="337" t="s">
        <v>172</v>
      </c>
      <c r="J4" s="338"/>
      <c r="K4" s="339"/>
      <c r="L4" s="91"/>
    </row>
    <row r="5" spans="1:12" ht="73.5" customHeight="1">
      <c r="A5" s="86"/>
      <c r="B5" s="334"/>
      <c r="C5" s="335"/>
      <c r="D5" s="335"/>
      <c r="E5" s="336"/>
      <c r="F5" s="92" t="s">
        <v>33</v>
      </c>
      <c r="G5" s="92" t="s">
        <v>34</v>
      </c>
      <c r="H5" s="92" t="s">
        <v>35</v>
      </c>
      <c r="I5" s="92" t="s">
        <v>33</v>
      </c>
      <c r="J5" s="92" t="s">
        <v>34</v>
      </c>
      <c r="K5" s="92" t="s">
        <v>35</v>
      </c>
      <c r="L5" s="91"/>
    </row>
    <row r="6" spans="1:12" s="96" customFormat="1" ht="15">
      <c r="A6" s="93"/>
      <c r="B6" s="325"/>
      <c r="C6" s="326"/>
      <c r="D6" s="326"/>
      <c r="E6" s="327"/>
      <c r="F6" s="94"/>
      <c r="G6" s="94"/>
      <c r="H6" s="94"/>
      <c r="I6" s="94"/>
      <c r="J6" s="94"/>
      <c r="K6" s="94"/>
      <c r="L6" s="95"/>
    </row>
    <row r="7" spans="1:12" s="96" customFormat="1" ht="15">
      <c r="A7" s="93"/>
      <c r="B7" s="322" t="s">
        <v>36</v>
      </c>
      <c r="C7" s="323"/>
      <c r="D7" s="323"/>
      <c r="E7" s="324"/>
      <c r="F7" s="218">
        <v>2699</v>
      </c>
      <c r="G7" s="97">
        <v>0</v>
      </c>
      <c r="H7" s="97">
        <v>2699</v>
      </c>
      <c r="I7" s="97">
        <v>3952</v>
      </c>
      <c r="J7" s="97">
        <v>0</v>
      </c>
      <c r="K7" s="97">
        <f>I7+J7</f>
        <v>3952</v>
      </c>
      <c r="L7" s="95"/>
    </row>
    <row r="8" spans="1:12" s="96" customFormat="1" ht="15" hidden="1" customHeight="1">
      <c r="A8" s="93"/>
      <c r="B8" s="98"/>
      <c r="C8" s="317" t="s">
        <v>37</v>
      </c>
      <c r="D8" s="318"/>
      <c r="E8" s="319"/>
      <c r="F8" s="315"/>
      <c r="G8" s="315"/>
      <c r="H8" s="315"/>
      <c r="I8" s="320"/>
      <c r="J8" s="320"/>
      <c r="K8" s="315"/>
      <c r="L8" s="95"/>
    </row>
    <row r="9" spans="1:12" s="96" customFormat="1" ht="15">
      <c r="A9" s="93"/>
      <c r="B9" s="99" t="s">
        <v>38</v>
      </c>
      <c r="C9" s="100" t="s">
        <v>39</v>
      </c>
      <c r="D9" s="100" t="s">
        <v>40</v>
      </c>
      <c r="E9" s="100" t="s">
        <v>41</v>
      </c>
      <c r="F9" s="316"/>
      <c r="G9" s="316"/>
      <c r="H9" s="316"/>
      <c r="I9" s="321"/>
      <c r="J9" s="321"/>
      <c r="K9" s="316"/>
      <c r="L9" s="95"/>
    </row>
    <row r="10" spans="1:12" s="96" customFormat="1" ht="14.25">
      <c r="A10" s="93"/>
      <c r="B10" s="101" t="s">
        <v>161</v>
      </c>
      <c r="C10" s="219">
        <v>0.01</v>
      </c>
      <c r="D10" s="220">
        <v>0.31</v>
      </c>
      <c r="E10" s="221">
        <v>0.68</v>
      </c>
      <c r="F10" s="218">
        <v>735</v>
      </c>
      <c r="G10" s="218">
        <v>27</v>
      </c>
      <c r="H10" s="102">
        <f t="shared" ref="H10:H16" si="0">F10+G10</f>
        <v>762</v>
      </c>
      <c r="I10" s="178">
        <v>1339</v>
      </c>
      <c r="J10" s="178">
        <v>27</v>
      </c>
      <c r="K10" s="102">
        <f t="shared" ref="K10:K16" si="1">I10+J10</f>
        <v>1366</v>
      </c>
      <c r="L10" s="95"/>
    </row>
    <row r="11" spans="1:12" s="96" customFormat="1" ht="14.25">
      <c r="A11" s="93"/>
      <c r="B11" s="103" t="s">
        <v>43</v>
      </c>
      <c r="C11" s="222">
        <v>0</v>
      </c>
      <c r="D11" s="223">
        <v>0.02</v>
      </c>
      <c r="E11" s="221">
        <f>1-C11-D11</f>
        <v>0.98</v>
      </c>
      <c r="F11" s="218">
        <v>95</v>
      </c>
      <c r="G11" s="218"/>
      <c r="H11" s="102">
        <f t="shared" si="0"/>
        <v>95</v>
      </c>
      <c r="I11" s="218">
        <v>145</v>
      </c>
      <c r="J11" s="178"/>
      <c r="K11" s="102">
        <f>I11+J11</f>
        <v>145</v>
      </c>
      <c r="L11" s="95"/>
    </row>
    <row r="12" spans="1:12" s="96" customFormat="1" ht="14.25">
      <c r="A12" s="93"/>
      <c r="B12" s="103" t="s">
        <v>44</v>
      </c>
      <c r="C12" s="222">
        <v>0.01</v>
      </c>
      <c r="D12" s="223">
        <v>0.15</v>
      </c>
      <c r="E12" s="221">
        <f>1-C12-D12</f>
        <v>0.84</v>
      </c>
      <c r="F12" s="218">
        <v>1339</v>
      </c>
      <c r="G12" s="218">
        <v>200</v>
      </c>
      <c r="H12" s="102">
        <f t="shared" si="0"/>
        <v>1539</v>
      </c>
      <c r="I12" s="178">
        <v>1595</v>
      </c>
      <c r="J12" s="178">
        <v>200</v>
      </c>
      <c r="K12" s="102">
        <f t="shared" si="1"/>
        <v>1795</v>
      </c>
      <c r="L12" s="95"/>
    </row>
    <row r="13" spans="1:12" s="96" customFormat="1" ht="14.25">
      <c r="A13" s="93"/>
      <c r="B13" s="103" t="s">
        <v>42</v>
      </c>
      <c r="C13" s="222">
        <v>0.02</v>
      </c>
      <c r="D13" s="223">
        <v>0.04</v>
      </c>
      <c r="E13" s="221">
        <v>0.94</v>
      </c>
      <c r="F13" s="218">
        <v>471</v>
      </c>
      <c r="G13" s="218"/>
      <c r="H13" s="102">
        <f t="shared" si="0"/>
        <v>471</v>
      </c>
      <c r="I13" s="178">
        <v>475</v>
      </c>
      <c r="J13" s="178"/>
      <c r="K13" s="102">
        <f t="shared" si="1"/>
        <v>475</v>
      </c>
      <c r="L13" s="95"/>
    </row>
    <row r="14" spans="1:12" s="96" customFormat="1" ht="14.25">
      <c r="A14" s="93"/>
      <c r="B14" s="103" t="s">
        <v>199</v>
      </c>
      <c r="C14" s="222">
        <v>0</v>
      </c>
      <c r="D14" s="223">
        <v>1</v>
      </c>
      <c r="E14" s="221">
        <v>0</v>
      </c>
      <c r="F14" s="218">
        <v>14</v>
      </c>
      <c r="G14" s="218"/>
      <c r="H14" s="102">
        <f t="shared" si="0"/>
        <v>14</v>
      </c>
      <c r="I14" s="178">
        <v>20</v>
      </c>
      <c r="J14" s="178"/>
      <c r="K14" s="102">
        <f t="shared" si="1"/>
        <v>20</v>
      </c>
      <c r="L14" s="95"/>
    </row>
    <row r="15" spans="1:12" s="96" customFormat="1" ht="14.25">
      <c r="A15" s="93"/>
      <c r="B15" s="103" t="s">
        <v>162</v>
      </c>
      <c r="C15" s="222">
        <v>0.08</v>
      </c>
      <c r="D15" s="223">
        <v>0.6</v>
      </c>
      <c r="E15" s="221">
        <v>0.32</v>
      </c>
      <c r="F15" s="218">
        <v>67</v>
      </c>
      <c r="G15" s="218"/>
      <c r="H15" s="102">
        <f t="shared" si="0"/>
        <v>67</v>
      </c>
      <c r="I15" s="178">
        <v>228</v>
      </c>
      <c r="J15" s="178"/>
      <c r="K15" s="102">
        <f t="shared" si="1"/>
        <v>228</v>
      </c>
      <c r="L15" s="95"/>
    </row>
    <row r="16" spans="1:12" s="96" customFormat="1" ht="14.25">
      <c r="A16" s="93"/>
      <c r="B16" s="103" t="s">
        <v>45</v>
      </c>
      <c r="C16" s="224">
        <v>0</v>
      </c>
      <c r="D16" s="225">
        <v>1</v>
      </c>
      <c r="E16" s="226">
        <f>1-C16-D16</f>
        <v>0</v>
      </c>
      <c r="F16" s="227">
        <v>35</v>
      </c>
      <c r="G16" s="227">
        <v>116</v>
      </c>
      <c r="H16" s="102">
        <f t="shared" si="0"/>
        <v>151</v>
      </c>
      <c r="I16" s="228">
        <v>150</v>
      </c>
      <c r="J16" s="228">
        <v>116</v>
      </c>
      <c r="K16" s="102">
        <f t="shared" si="1"/>
        <v>266</v>
      </c>
      <c r="L16" s="95"/>
    </row>
    <row r="17" spans="1:12" s="96" customFormat="1" ht="15">
      <c r="A17" s="93"/>
      <c r="B17" s="104" t="s">
        <v>46</v>
      </c>
      <c r="C17" s="105">
        <v>22</v>
      </c>
      <c r="D17" s="105">
        <v>444</v>
      </c>
      <c r="E17" s="105">
        <v>730</v>
      </c>
      <c r="F17" s="106">
        <f>SUM(F10:F16)</f>
        <v>2756</v>
      </c>
      <c r="G17" s="106">
        <f>SUM(G10:G16)</f>
        <v>343</v>
      </c>
      <c r="H17" s="106">
        <f>SUM(H10:H16)</f>
        <v>3099</v>
      </c>
      <c r="I17" s="106">
        <f>SUM(I10:I16)</f>
        <v>3952</v>
      </c>
      <c r="J17" s="106">
        <f>SUM(J10:J16)</f>
        <v>343</v>
      </c>
      <c r="K17" s="106">
        <f>SUM(I17:J17)</f>
        <v>4295</v>
      </c>
      <c r="L17" s="95"/>
    </row>
    <row r="18" spans="1:12" s="96" customFormat="1" ht="15">
      <c r="A18" s="93"/>
      <c r="B18" s="99" t="s">
        <v>47</v>
      </c>
      <c r="C18" s="312"/>
      <c r="D18" s="313"/>
      <c r="E18" s="314"/>
      <c r="F18" s="107">
        <f>F17-F7</f>
        <v>57</v>
      </c>
      <c r="G18" s="107">
        <f>G17-G7</f>
        <v>343</v>
      </c>
      <c r="H18" s="106">
        <f>H17-H7</f>
        <v>400</v>
      </c>
      <c r="I18" s="106">
        <f>I17-I7</f>
        <v>0</v>
      </c>
      <c r="J18" s="106">
        <f>J17-J7</f>
        <v>343</v>
      </c>
      <c r="K18" s="106">
        <f>SUM(I18:J18)</f>
        <v>343</v>
      </c>
      <c r="L18" s="95"/>
    </row>
    <row r="19" spans="1:12" s="96" customFormat="1" ht="15">
      <c r="A19" s="93"/>
      <c r="B19" s="312"/>
      <c r="C19" s="313"/>
      <c r="D19" s="313"/>
      <c r="E19" s="313"/>
      <c r="F19" s="313"/>
      <c r="G19" s="313"/>
      <c r="H19" s="313"/>
      <c r="I19" s="313"/>
      <c r="J19" s="313"/>
      <c r="K19" s="314"/>
      <c r="L19" s="95"/>
    </row>
    <row r="20" spans="1:12" s="96" customFormat="1" ht="15" hidden="1">
      <c r="A20" s="93"/>
      <c r="B20" s="312" t="s">
        <v>163</v>
      </c>
      <c r="C20" s="313"/>
      <c r="D20" s="313"/>
      <c r="E20" s="314"/>
      <c r="F20" s="229"/>
      <c r="G20" s="229"/>
      <c r="H20" s="230">
        <f>SUM(F20:G20)</f>
        <v>0</v>
      </c>
      <c r="I20" s="229"/>
      <c r="J20" s="229"/>
      <c r="K20" s="230">
        <f>SUM(I20:J20)</f>
        <v>0</v>
      </c>
      <c r="L20" s="95"/>
    </row>
    <row r="21" spans="1:12" ht="15.75" hidden="1" thickBot="1">
      <c r="A21" s="108"/>
      <c r="B21" s="312"/>
      <c r="C21" s="313"/>
      <c r="D21" s="313"/>
      <c r="E21" s="313"/>
      <c r="F21" s="313"/>
      <c r="G21" s="313"/>
      <c r="H21" s="313"/>
      <c r="I21" s="313"/>
      <c r="J21" s="313"/>
      <c r="K21" s="314"/>
      <c r="L21" s="110"/>
    </row>
    <row r="22" spans="1:12" ht="15" hidden="1">
      <c r="B22" s="312" t="s">
        <v>164</v>
      </c>
      <c r="C22" s="313"/>
      <c r="D22" s="313"/>
      <c r="E22" s="314"/>
      <c r="F22" s="231"/>
      <c r="G22" s="231"/>
      <c r="H22" s="232">
        <f>SUM(F22:G22)</f>
        <v>0</v>
      </c>
      <c r="I22" s="231"/>
      <c r="J22" s="231"/>
      <c r="K22" s="232">
        <f>SUM(I22:J22)</f>
        <v>0</v>
      </c>
    </row>
    <row r="23" spans="1:12" hidden="1">
      <c r="F23" s="248" t="s">
        <v>167</v>
      </c>
    </row>
  </sheetData>
  <mergeCells count="19">
    <mergeCell ref="B7:E7"/>
    <mergeCell ref="B6:E6"/>
    <mergeCell ref="H2:J2"/>
    <mergeCell ref="B4:E5"/>
    <mergeCell ref="F4:H4"/>
    <mergeCell ref="I4:K4"/>
    <mergeCell ref="B2:F2"/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</mergeCells>
  <phoneticPr fontId="25" type="noConversion"/>
  <conditionalFormatting sqref="J10:J16 I10 I12:I16">
    <cfRule type="expression" dxfId="2" priority="2" stopIfTrue="1">
      <formula>AND($D$58=1,I10&lt;&gt;F10)</formula>
    </cfRule>
  </conditionalFormatting>
  <conditionalFormatting sqref="C10:D16">
    <cfRule type="expression" dxfId="1" priority="3" stopIfTrue="1">
      <formula>$D$59=12</formula>
    </cfRule>
  </conditionalFormatting>
  <dataValidations count="3">
    <dataValidation type="custom" allowBlank="1" showInputMessage="1" showErrorMessage="1" sqref="F7">
      <formula1>AND(OR(F7&gt;0,F7=0),OR(F7&lt;H7,F7=H7))</formula1>
    </dataValidation>
    <dataValidation showInputMessage="1" showErrorMessage="1" sqref="C10:C16"/>
    <dataValidation type="custom" allowBlank="1" showInputMessage="1" showErrorMessage="1" sqref="G7 I10:J16 F10:G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tabSelected="1" workbookViewId="0">
      <selection activeCell="C9" sqref="C9"/>
    </sheetView>
  </sheetViews>
  <sheetFormatPr defaultRowHeight="14.25"/>
  <cols>
    <col min="1" max="1" width="4.140625" style="119" customWidth="1"/>
    <col min="2" max="2" width="5.85546875" style="121" customWidth="1"/>
    <col min="3" max="3" width="78.5703125" style="122" customWidth="1"/>
    <col min="4" max="9" width="11.7109375" style="122" customWidth="1"/>
    <col min="10" max="10" width="4.5703125" style="119" customWidth="1"/>
    <col min="11" max="11" width="9.140625" style="120"/>
    <col min="12" max="12" width="9.140625" style="123"/>
    <col min="13" max="16384" width="9.140625" style="120"/>
  </cols>
  <sheetData>
    <row r="1" spans="2:10" ht="10.5" customHeight="1" thickBot="1"/>
    <row r="2" spans="2:10">
      <c r="B2" s="179"/>
      <c r="C2" s="80"/>
      <c r="D2" s="80"/>
      <c r="E2" s="80"/>
      <c r="F2" s="80"/>
      <c r="G2" s="80"/>
      <c r="H2" s="80"/>
      <c r="I2" s="80"/>
      <c r="J2" s="82"/>
    </row>
    <row r="3" spans="2:10" ht="15">
      <c r="B3" s="180"/>
      <c r="C3" s="198" t="s">
        <v>160</v>
      </c>
      <c r="D3" s="199"/>
      <c r="E3" s="199"/>
      <c r="F3" s="199"/>
      <c r="G3" s="268" t="s">
        <v>204</v>
      </c>
      <c r="H3" s="267"/>
      <c r="I3" s="200"/>
      <c r="J3" s="124"/>
    </row>
    <row r="4" spans="2:10">
      <c r="B4" s="181"/>
      <c r="C4" s="87"/>
      <c r="D4" s="87"/>
      <c r="E4" s="87"/>
      <c r="F4" s="87"/>
      <c r="G4" s="87"/>
      <c r="H4" s="87"/>
      <c r="I4" s="87"/>
      <c r="J4" s="91"/>
    </row>
    <row r="5" spans="2:10" ht="15">
      <c r="B5" s="181"/>
      <c r="C5" s="344" t="s">
        <v>50</v>
      </c>
      <c r="D5" s="346" t="s">
        <v>1</v>
      </c>
      <c r="E5" s="346"/>
      <c r="F5" s="346"/>
      <c r="G5" s="346" t="s">
        <v>173</v>
      </c>
      <c r="H5" s="346"/>
      <c r="I5" s="346"/>
      <c r="J5" s="91"/>
    </row>
    <row r="6" spans="2:10" ht="45">
      <c r="B6" s="182" t="s">
        <v>56</v>
      </c>
      <c r="C6" s="345"/>
      <c r="D6" s="125" t="s">
        <v>57</v>
      </c>
      <c r="E6" s="125" t="s">
        <v>58</v>
      </c>
      <c r="F6" s="125" t="s">
        <v>59</v>
      </c>
      <c r="G6" s="125" t="s">
        <v>60</v>
      </c>
      <c r="H6" s="125" t="s">
        <v>61</v>
      </c>
      <c r="I6" s="125" t="s">
        <v>62</v>
      </c>
      <c r="J6" s="91"/>
    </row>
    <row r="7" spans="2:10" ht="15" customHeight="1">
      <c r="B7" s="181"/>
      <c r="C7" s="136" t="s">
        <v>117</v>
      </c>
      <c r="D7" s="126"/>
      <c r="E7" s="126"/>
      <c r="F7" s="126"/>
      <c r="G7" s="126"/>
      <c r="H7" s="126"/>
      <c r="I7" s="127"/>
      <c r="J7" s="91"/>
    </row>
    <row r="8" spans="2:10" ht="15" customHeight="1">
      <c r="B8" s="181">
        <v>10.000999999999999</v>
      </c>
      <c r="C8" s="128" t="s">
        <v>165</v>
      </c>
      <c r="D8" s="126">
        <v>101</v>
      </c>
      <c r="E8" s="126">
        <v>101</v>
      </c>
      <c r="F8" s="126">
        <f t="shared" ref="F8:F35" si="0">E8-D8</f>
        <v>0</v>
      </c>
      <c r="G8" s="126">
        <v>433</v>
      </c>
      <c r="H8" s="126">
        <v>433</v>
      </c>
      <c r="I8" s="126">
        <f t="shared" ref="I8:I35" si="1">H8-G8</f>
        <v>0</v>
      </c>
      <c r="J8" s="91"/>
    </row>
    <row r="9" spans="2:10" ht="15" customHeight="1">
      <c r="B9" s="181">
        <v>10.002000000000001</v>
      </c>
      <c r="C9" s="129" t="s">
        <v>174</v>
      </c>
      <c r="D9" s="233">
        <v>0</v>
      </c>
      <c r="E9" s="233">
        <v>0</v>
      </c>
      <c r="F9" s="144">
        <f t="shared" si="0"/>
        <v>0</v>
      </c>
      <c r="G9" s="233">
        <v>800</v>
      </c>
      <c r="H9" s="233">
        <v>800</v>
      </c>
      <c r="I9" s="126">
        <f t="shared" si="1"/>
        <v>0</v>
      </c>
      <c r="J9" s="91"/>
    </row>
    <row r="10" spans="2:10" ht="15" customHeight="1">
      <c r="B10" s="181">
        <v>10.003</v>
      </c>
      <c r="C10" s="127"/>
      <c r="D10" s="233"/>
      <c r="E10" s="233"/>
      <c r="F10" s="144">
        <f t="shared" si="0"/>
        <v>0</v>
      </c>
      <c r="G10" s="233"/>
      <c r="H10" s="233"/>
      <c r="I10" s="126">
        <f t="shared" si="1"/>
        <v>0</v>
      </c>
      <c r="J10" s="91"/>
    </row>
    <row r="11" spans="2:10" ht="15" customHeight="1">
      <c r="B11" s="181">
        <v>10.004</v>
      </c>
      <c r="C11" s="130"/>
      <c r="D11" s="233"/>
      <c r="E11" s="234"/>
      <c r="F11" s="144">
        <f t="shared" si="0"/>
        <v>0</v>
      </c>
      <c r="G11" s="235"/>
      <c r="H11" s="235"/>
      <c r="I11" s="126">
        <f t="shared" si="1"/>
        <v>0</v>
      </c>
      <c r="J11" s="91"/>
    </row>
    <row r="12" spans="2:10" ht="15" hidden="1" customHeight="1">
      <c r="B12" s="181">
        <v>10.005000000000001</v>
      </c>
      <c r="C12" s="130"/>
      <c r="D12" s="233"/>
      <c r="E12" s="234"/>
      <c r="F12" s="144">
        <f t="shared" si="0"/>
        <v>0</v>
      </c>
      <c r="G12" s="236"/>
      <c r="H12" s="236"/>
      <c r="I12" s="126">
        <f t="shared" si="1"/>
        <v>0</v>
      </c>
      <c r="J12" s="91"/>
    </row>
    <row r="13" spans="2:10" ht="15" hidden="1" customHeight="1">
      <c r="B13" s="181">
        <v>10.006</v>
      </c>
      <c r="C13" s="185"/>
      <c r="D13" s="233"/>
      <c r="E13" s="234"/>
      <c r="F13" s="144">
        <f t="shared" si="0"/>
        <v>0</v>
      </c>
      <c r="G13" s="236"/>
      <c r="H13" s="236"/>
      <c r="I13" s="126">
        <f t="shared" si="1"/>
        <v>0</v>
      </c>
      <c r="J13" s="91"/>
    </row>
    <row r="14" spans="2:10" ht="15" hidden="1" customHeight="1">
      <c r="B14" s="181">
        <v>10.007</v>
      </c>
      <c r="C14" s="185"/>
      <c r="D14" s="183"/>
      <c r="E14" s="184"/>
      <c r="F14" s="126">
        <f t="shared" si="0"/>
        <v>0</v>
      </c>
      <c r="G14" s="178"/>
      <c r="H14" s="178"/>
      <c r="I14" s="126">
        <f t="shared" si="1"/>
        <v>0</v>
      </c>
      <c r="J14" s="91"/>
    </row>
    <row r="15" spans="2:10" ht="15" hidden="1" customHeight="1">
      <c r="B15" s="181">
        <v>10.007999999999999</v>
      </c>
      <c r="C15" s="185"/>
      <c r="D15" s="183"/>
      <c r="E15" s="184"/>
      <c r="F15" s="126">
        <f t="shared" si="0"/>
        <v>0</v>
      </c>
      <c r="G15" s="178"/>
      <c r="H15" s="178"/>
      <c r="I15" s="126">
        <f t="shared" si="1"/>
        <v>0</v>
      </c>
      <c r="J15" s="91"/>
    </row>
    <row r="16" spans="2:10" ht="15" hidden="1" customHeight="1">
      <c r="B16" s="181">
        <v>10.009</v>
      </c>
      <c r="C16" s="185"/>
      <c r="D16" s="183"/>
      <c r="E16" s="184"/>
      <c r="F16" s="126">
        <f t="shared" si="0"/>
        <v>0</v>
      </c>
      <c r="G16" s="178"/>
      <c r="H16" s="178"/>
      <c r="I16" s="126">
        <f t="shared" si="1"/>
        <v>0</v>
      </c>
      <c r="J16" s="91"/>
    </row>
    <row r="17" spans="2:10" ht="15" hidden="1" customHeight="1">
      <c r="B17" s="181">
        <v>10.01</v>
      </c>
      <c r="C17" s="185"/>
      <c r="D17" s="183"/>
      <c r="E17" s="184"/>
      <c r="F17" s="126">
        <f t="shared" si="0"/>
        <v>0</v>
      </c>
      <c r="G17" s="178"/>
      <c r="H17" s="178"/>
      <c r="I17" s="126">
        <f t="shared" si="1"/>
        <v>0</v>
      </c>
      <c r="J17" s="91"/>
    </row>
    <row r="18" spans="2:10" ht="15" hidden="1" customHeight="1">
      <c r="B18" s="181">
        <v>10.010999999999999</v>
      </c>
      <c r="C18" s="185"/>
      <c r="D18" s="183"/>
      <c r="E18" s="184"/>
      <c r="F18" s="126">
        <f t="shared" si="0"/>
        <v>0</v>
      </c>
      <c r="G18" s="178"/>
      <c r="H18" s="178"/>
      <c r="I18" s="126">
        <f t="shared" si="1"/>
        <v>0</v>
      </c>
      <c r="J18" s="91"/>
    </row>
    <row r="19" spans="2:10" ht="15" hidden="1" customHeight="1">
      <c r="B19" s="181">
        <v>10.012</v>
      </c>
      <c r="C19" s="185"/>
      <c r="D19" s="183"/>
      <c r="E19" s="184"/>
      <c r="F19" s="126">
        <f t="shared" si="0"/>
        <v>0</v>
      </c>
      <c r="G19" s="178"/>
      <c r="H19" s="178"/>
      <c r="I19" s="126">
        <f t="shared" si="1"/>
        <v>0</v>
      </c>
      <c r="J19" s="91"/>
    </row>
    <row r="20" spans="2:10" ht="15" hidden="1" customHeight="1">
      <c r="B20" s="181">
        <v>10.013</v>
      </c>
      <c r="C20" s="185"/>
      <c r="D20" s="183"/>
      <c r="E20" s="184"/>
      <c r="F20" s="126">
        <f t="shared" si="0"/>
        <v>0</v>
      </c>
      <c r="G20" s="178"/>
      <c r="H20" s="178"/>
      <c r="I20" s="126">
        <f t="shared" si="1"/>
        <v>0</v>
      </c>
      <c r="J20" s="91"/>
    </row>
    <row r="21" spans="2:10" ht="15" hidden="1" customHeight="1">
      <c r="B21" s="181">
        <v>10.013999999999999</v>
      </c>
      <c r="C21" s="185"/>
      <c r="D21" s="183"/>
      <c r="E21" s="184"/>
      <c r="F21" s="126">
        <f t="shared" si="0"/>
        <v>0</v>
      </c>
      <c r="G21" s="178"/>
      <c r="H21" s="178"/>
      <c r="I21" s="126">
        <f t="shared" si="1"/>
        <v>0</v>
      </c>
      <c r="J21" s="91"/>
    </row>
    <row r="22" spans="2:10" ht="15" hidden="1" customHeight="1">
      <c r="B22" s="181">
        <v>10.015000000000001</v>
      </c>
      <c r="C22" s="185"/>
      <c r="D22" s="183"/>
      <c r="E22" s="184"/>
      <c r="F22" s="126">
        <f t="shared" si="0"/>
        <v>0</v>
      </c>
      <c r="G22" s="178"/>
      <c r="H22" s="178"/>
      <c r="I22" s="126">
        <f t="shared" si="1"/>
        <v>0</v>
      </c>
      <c r="J22" s="91"/>
    </row>
    <row r="23" spans="2:10" ht="15" hidden="1" customHeight="1">
      <c r="B23" s="181">
        <v>10.016</v>
      </c>
      <c r="C23" s="185"/>
      <c r="D23" s="183"/>
      <c r="E23" s="184"/>
      <c r="F23" s="126">
        <f t="shared" si="0"/>
        <v>0</v>
      </c>
      <c r="G23" s="178"/>
      <c r="H23" s="178"/>
      <c r="I23" s="126">
        <f t="shared" si="1"/>
        <v>0</v>
      </c>
      <c r="J23" s="91"/>
    </row>
    <row r="24" spans="2:10" ht="15" hidden="1" customHeight="1">
      <c r="B24" s="181">
        <v>10.016999999999999</v>
      </c>
      <c r="C24" s="185"/>
      <c r="D24" s="183"/>
      <c r="E24" s="184"/>
      <c r="F24" s="126">
        <f t="shared" si="0"/>
        <v>0</v>
      </c>
      <c r="G24" s="178"/>
      <c r="H24" s="178"/>
      <c r="I24" s="126">
        <f t="shared" si="1"/>
        <v>0</v>
      </c>
      <c r="J24" s="91"/>
    </row>
    <row r="25" spans="2:10" ht="15" hidden="1" customHeight="1">
      <c r="B25" s="181">
        <v>10.018000000000001</v>
      </c>
      <c r="C25" s="185"/>
      <c r="D25" s="183"/>
      <c r="E25" s="184"/>
      <c r="F25" s="126">
        <f t="shared" si="0"/>
        <v>0</v>
      </c>
      <c r="G25" s="178"/>
      <c r="H25" s="178"/>
      <c r="I25" s="126">
        <f t="shared" si="1"/>
        <v>0</v>
      </c>
      <c r="J25" s="91"/>
    </row>
    <row r="26" spans="2:10" ht="15" hidden="1" customHeight="1">
      <c r="B26" s="181">
        <v>10.019</v>
      </c>
      <c r="C26" s="185"/>
      <c r="D26" s="183"/>
      <c r="E26" s="184"/>
      <c r="F26" s="126">
        <f t="shared" si="0"/>
        <v>0</v>
      </c>
      <c r="G26" s="178"/>
      <c r="H26" s="178"/>
      <c r="I26" s="126">
        <f t="shared" si="1"/>
        <v>0</v>
      </c>
      <c r="J26" s="91"/>
    </row>
    <row r="27" spans="2:10" ht="15" hidden="1" customHeight="1">
      <c r="B27" s="181">
        <v>10.02</v>
      </c>
      <c r="C27" s="185"/>
      <c r="D27" s="183"/>
      <c r="E27" s="184"/>
      <c r="F27" s="126">
        <f t="shared" si="0"/>
        <v>0</v>
      </c>
      <c r="G27" s="178"/>
      <c r="H27" s="178"/>
      <c r="I27" s="126">
        <f t="shared" si="1"/>
        <v>0</v>
      </c>
      <c r="J27" s="91"/>
    </row>
    <row r="28" spans="2:10" ht="15" hidden="1" customHeight="1">
      <c r="B28" s="181">
        <v>10.021000000000001</v>
      </c>
      <c r="C28" s="185"/>
      <c r="D28" s="183"/>
      <c r="E28" s="184"/>
      <c r="F28" s="126">
        <f t="shared" si="0"/>
        <v>0</v>
      </c>
      <c r="G28" s="178"/>
      <c r="H28" s="178"/>
      <c r="I28" s="126">
        <f t="shared" si="1"/>
        <v>0</v>
      </c>
      <c r="J28" s="91"/>
    </row>
    <row r="29" spans="2:10" ht="15" hidden="1" customHeight="1">
      <c r="B29" s="181">
        <v>10.022</v>
      </c>
      <c r="C29" s="185"/>
      <c r="D29" s="183"/>
      <c r="E29" s="184"/>
      <c r="F29" s="126">
        <f t="shared" si="0"/>
        <v>0</v>
      </c>
      <c r="G29" s="178"/>
      <c r="H29" s="178"/>
      <c r="I29" s="126">
        <f t="shared" si="1"/>
        <v>0</v>
      </c>
      <c r="J29" s="91"/>
    </row>
    <row r="30" spans="2:10" ht="15" hidden="1" customHeight="1">
      <c r="B30" s="181">
        <v>10.023</v>
      </c>
      <c r="C30" s="185"/>
      <c r="D30" s="183"/>
      <c r="E30" s="184"/>
      <c r="F30" s="126">
        <f t="shared" si="0"/>
        <v>0</v>
      </c>
      <c r="G30" s="178"/>
      <c r="H30" s="178"/>
      <c r="I30" s="126">
        <f t="shared" si="1"/>
        <v>0</v>
      </c>
      <c r="J30" s="91"/>
    </row>
    <row r="31" spans="2:10" ht="15" hidden="1" customHeight="1">
      <c r="B31" s="181">
        <v>10.023999999999999</v>
      </c>
      <c r="C31" s="185"/>
      <c r="D31" s="183"/>
      <c r="E31" s="184"/>
      <c r="F31" s="126">
        <f t="shared" si="0"/>
        <v>0</v>
      </c>
      <c r="G31" s="178"/>
      <c r="H31" s="178"/>
      <c r="I31" s="126">
        <f t="shared" si="1"/>
        <v>0</v>
      </c>
      <c r="J31" s="91"/>
    </row>
    <row r="32" spans="2:10" ht="15" hidden="1" customHeight="1">
      <c r="B32" s="181">
        <v>10.025</v>
      </c>
      <c r="C32" s="185"/>
      <c r="D32" s="183"/>
      <c r="E32" s="184"/>
      <c r="F32" s="126">
        <f t="shared" si="0"/>
        <v>0</v>
      </c>
      <c r="G32" s="178"/>
      <c r="H32" s="178"/>
      <c r="I32" s="126">
        <f t="shared" si="1"/>
        <v>0</v>
      </c>
      <c r="J32" s="91"/>
    </row>
    <row r="33" spans="2:14" ht="15" hidden="1" customHeight="1">
      <c r="B33" s="181">
        <v>10.026</v>
      </c>
      <c r="C33" s="185"/>
      <c r="D33" s="183"/>
      <c r="E33" s="184"/>
      <c r="F33" s="126">
        <f t="shared" si="0"/>
        <v>0</v>
      </c>
      <c r="G33" s="178"/>
      <c r="H33" s="178"/>
      <c r="I33" s="126">
        <f t="shared" si="1"/>
        <v>0</v>
      </c>
      <c r="J33" s="91"/>
    </row>
    <row r="34" spans="2:14" ht="15" customHeight="1">
      <c r="B34" s="181"/>
      <c r="C34" s="247"/>
      <c r="D34" s="233"/>
      <c r="E34" s="234"/>
      <c r="F34" s="144">
        <f t="shared" si="0"/>
        <v>0</v>
      </c>
      <c r="G34" s="236"/>
      <c r="H34" s="236"/>
      <c r="I34" s="126"/>
      <c r="J34" s="91"/>
    </row>
    <row r="35" spans="2:14" ht="15" customHeight="1">
      <c r="B35" s="181">
        <v>10.026999999999999</v>
      </c>
      <c r="C35" s="130"/>
      <c r="D35" s="233"/>
      <c r="E35" s="234">
        <v>0</v>
      </c>
      <c r="F35" s="144">
        <f t="shared" si="0"/>
        <v>0</v>
      </c>
      <c r="G35" s="236"/>
      <c r="H35" s="236"/>
      <c r="I35" s="126">
        <f t="shared" si="1"/>
        <v>0</v>
      </c>
      <c r="J35" s="91"/>
    </row>
    <row r="36" spans="2:14" ht="15" customHeight="1">
      <c r="B36" s="181">
        <v>10.028</v>
      </c>
      <c r="C36" s="131" t="s">
        <v>63</v>
      </c>
      <c r="D36" s="132">
        <f t="shared" ref="D36:I36" si="2">SUM(D8:D35)</f>
        <v>101</v>
      </c>
      <c r="E36" s="132">
        <f t="shared" si="2"/>
        <v>101</v>
      </c>
      <c r="F36" s="132">
        <f t="shared" si="2"/>
        <v>0</v>
      </c>
      <c r="G36" s="132">
        <f>SUM(G8:G35)</f>
        <v>1233</v>
      </c>
      <c r="H36" s="132">
        <f>SUM(H8:H35)</f>
        <v>1233</v>
      </c>
      <c r="I36" s="132">
        <f t="shared" si="2"/>
        <v>0</v>
      </c>
      <c r="J36" s="124"/>
    </row>
    <row r="37" spans="2:14" ht="9.75" customHeight="1">
      <c r="B37" s="181"/>
      <c r="C37" s="133"/>
      <c r="D37" s="134"/>
      <c r="E37" s="134"/>
      <c r="F37" s="134"/>
      <c r="G37" s="134"/>
      <c r="H37" s="134"/>
      <c r="I37" s="134"/>
      <c r="J37" s="135"/>
    </row>
    <row r="38" spans="2:14" ht="15" customHeight="1">
      <c r="B38" s="181"/>
      <c r="C38" s="136" t="s">
        <v>64</v>
      </c>
      <c r="D38" s="126"/>
      <c r="E38" s="126"/>
      <c r="F38" s="126"/>
      <c r="G38" s="126"/>
      <c r="H38" s="126"/>
      <c r="I38" s="127"/>
      <c r="J38" s="91"/>
    </row>
    <row r="39" spans="2:14" ht="15" customHeight="1">
      <c r="B39" s="181"/>
      <c r="C39" s="136" t="s">
        <v>65</v>
      </c>
      <c r="D39" s="126"/>
      <c r="E39" s="126"/>
      <c r="F39" s="126"/>
      <c r="G39" s="126"/>
      <c r="H39" s="126"/>
      <c r="I39" s="127"/>
      <c r="J39" s="91"/>
    </row>
    <row r="40" spans="2:14" ht="15" hidden="1" customHeight="1">
      <c r="B40" s="181">
        <v>10.029</v>
      </c>
      <c r="C40" s="127" t="s">
        <v>66</v>
      </c>
      <c r="D40" s="186"/>
      <c r="E40" s="186"/>
      <c r="F40" s="126">
        <f t="shared" ref="F40:F54" si="3">E40-D40</f>
        <v>0</v>
      </c>
      <c r="G40" s="178"/>
      <c r="H40" s="178"/>
      <c r="I40" s="126">
        <f t="shared" ref="I40:I54" si="4">H40-G40</f>
        <v>0</v>
      </c>
      <c r="J40" s="91"/>
      <c r="N40" s="119"/>
    </row>
    <row r="41" spans="2:14" ht="15.75" customHeight="1">
      <c r="B41" s="181">
        <v>10.029999999999999</v>
      </c>
      <c r="C41" s="127" t="s">
        <v>67</v>
      </c>
      <c r="D41" s="186">
        <v>0</v>
      </c>
      <c r="E41" s="186">
        <v>0</v>
      </c>
      <c r="F41" s="126">
        <f t="shared" si="3"/>
        <v>0</v>
      </c>
      <c r="G41" s="186">
        <f>650+420</f>
        <v>1070</v>
      </c>
      <c r="H41" s="186">
        <v>1070</v>
      </c>
      <c r="I41" s="126">
        <f t="shared" si="4"/>
        <v>0</v>
      </c>
      <c r="J41" s="91"/>
    </row>
    <row r="42" spans="2:14" ht="15" customHeight="1">
      <c r="B42" s="181">
        <v>10.031000000000001</v>
      </c>
      <c r="C42" s="127" t="s">
        <v>118</v>
      </c>
      <c r="D42" s="186">
        <v>0</v>
      </c>
      <c r="E42" s="186">
        <v>0</v>
      </c>
      <c r="F42" s="126">
        <f t="shared" si="3"/>
        <v>0</v>
      </c>
      <c r="G42" s="186">
        <v>1052</v>
      </c>
      <c r="H42" s="186">
        <v>1052</v>
      </c>
      <c r="I42" s="126">
        <f t="shared" si="4"/>
        <v>0</v>
      </c>
      <c r="J42" s="91"/>
    </row>
    <row r="43" spans="2:14" ht="15" hidden="1" customHeight="1">
      <c r="B43" s="181">
        <v>10.032</v>
      </c>
      <c r="C43" s="127" t="s">
        <v>68</v>
      </c>
      <c r="D43" s="186"/>
      <c r="E43" s="186"/>
      <c r="F43" s="126">
        <f t="shared" si="3"/>
        <v>0</v>
      </c>
      <c r="G43" s="186"/>
      <c r="H43" s="186"/>
      <c r="I43" s="126">
        <f t="shared" si="4"/>
        <v>0</v>
      </c>
      <c r="J43" s="91"/>
    </row>
    <row r="44" spans="2:14" ht="15" hidden="1" customHeight="1">
      <c r="B44" s="181">
        <v>10.032999999999999</v>
      </c>
      <c r="C44" s="127" t="s">
        <v>69</v>
      </c>
      <c r="D44" s="186"/>
      <c r="E44" s="186"/>
      <c r="F44" s="126">
        <f t="shared" si="3"/>
        <v>0</v>
      </c>
      <c r="G44" s="186"/>
      <c r="H44" s="186"/>
      <c r="I44" s="126">
        <f t="shared" si="4"/>
        <v>0</v>
      </c>
      <c r="J44" s="91"/>
    </row>
    <row r="45" spans="2:14" ht="15" hidden="1" customHeight="1">
      <c r="B45" s="181">
        <v>10.034000000000001</v>
      </c>
      <c r="C45" s="127" t="s">
        <v>119</v>
      </c>
      <c r="D45" s="186"/>
      <c r="E45" s="186"/>
      <c r="F45" s="126">
        <f t="shared" si="3"/>
        <v>0</v>
      </c>
      <c r="G45" s="186"/>
      <c r="H45" s="186"/>
      <c r="I45" s="126">
        <f t="shared" si="4"/>
        <v>0</v>
      </c>
      <c r="J45" s="91"/>
    </row>
    <row r="46" spans="2:14" ht="15" customHeight="1">
      <c r="B46" s="181">
        <v>10.035</v>
      </c>
      <c r="C46" s="127" t="s">
        <v>120</v>
      </c>
      <c r="D46" s="186">
        <v>686</v>
      </c>
      <c r="E46" s="186">
        <v>686</v>
      </c>
      <c r="F46" s="126">
        <f t="shared" si="3"/>
        <v>0</v>
      </c>
      <c r="G46" s="186">
        <v>1200</v>
      </c>
      <c r="H46" s="186">
        <v>1200</v>
      </c>
      <c r="I46" s="126">
        <f t="shared" si="4"/>
        <v>0</v>
      </c>
      <c r="J46" s="91"/>
    </row>
    <row r="47" spans="2:14" ht="15" customHeight="1">
      <c r="B47" s="181">
        <v>10.036</v>
      </c>
      <c r="C47" s="137" t="s">
        <v>70</v>
      </c>
      <c r="D47" s="138">
        <f>SUM(D40:D46)</f>
        <v>686</v>
      </c>
      <c r="E47" s="138">
        <f>SUM(E40:E46)</f>
        <v>686</v>
      </c>
      <c r="F47" s="138">
        <f t="shared" si="3"/>
        <v>0</v>
      </c>
      <c r="G47" s="138">
        <f>SUM(G40:G46)</f>
        <v>3322</v>
      </c>
      <c r="H47" s="138">
        <f>SUM(H40:H46)</f>
        <v>3322</v>
      </c>
      <c r="I47" s="138">
        <f t="shared" si="4"/>
        <v>0</v>
      </c>
      <c r="J47" s="91"/>
    </row>
    <row r="48" spans="2:14" ht="9.75" hidden="1" customHeight="1">
      <c r="B48" s="181"/>
      <c r="C48" s="127"/>
      <c r="D48" s="126"/>
      <c r="E48" s="126"/>
      <c r="F48" s="126"/>
      <c r="G48" s="126"/>
      <c r="H48" s="126"/>
      <c r="I48" s="126"/>
      <c r="J48" s="91"/>
    </row>
    <row r="49" spans="2:10" ht="15" hidden="1" customHeight="1">
      <c r="B49" s="181"/>
      <c r="C49" s="136" t="s">
        <v>71</v>
      </c>
      <c r="D49" s="126"/>
      <c r="E49" s="126"/>
      <c r="F49" s="126"/>
      <c r="G49" s="126"/>
      <c r="H49" s="126"/>
      <c r="I49" s="126"/>
      <c r="J49" s="91"/>
    </row>
    <row r="50" spans="2:10" ht="15" hidden="1" customHeight="1">
      <c r="B50" s="181">
        <v>10.037000000000001</v>
      </c>
      <c r="C50" s="127" t="s">
        <v>72</v>
      </c>
      <c r="D50" s="186"/>
      <c r="E50" s="186"/>
      <c r="F50" s="126">
        <f t="shared" si="3"/>
        <v>0</v>
      </c>
      <c r="G50" s="178"/>
      <c r="H50" s="178"/>
      <c r="I50" s="126">
        <f t="shared" si="4"/>
        <v>0</v>
      </c>
      <c r="J50" s="91"/>
    </row>
    <row r="51" spans="2:10" ht="15" hidden="1" customHeight="1">
      <c r="B51" s="181">
        <v>10.038</v>
      </c>
      <c r="C51" s="127" t="s">
        <v>73</v>
      </c>
      <c r="D51" s="186"/>
      <c r="E51" s="186"/>
      <c r="F51" s="126">
        <f t="shared" si="3"/>
        <v>0</v>
      </c>
      <c r="G51" s="178"/>
      <c r="H51" s="178"/>
      <c r="I51" s="126">
        <f t="shared" si="4"/>
        <v>0</v>
      </c>
      <c r="J51" s="91"/>
    </row>
    <row r="52" spans="2:10" ht="15" hidden="1" customHeight="1">
      <c r="B52" s="181">
        <v>10.039</v>
      </c>
      <c r="C52" s="127" t="s">
        <v>74</v>
      </c>
      <c r="D52" s="186"/>
      <c r="E52" s="186"/>
      <c r="F52" s="126">
        <f t="shared" si="3"/>
        <v>0</v>
      </c>
      <c r="G52" s="178"/>
      <c r="H52" s="178"/>
      <c r="I52" s="126">
        <f t="shared" si="4"/>
        <v>0</v>
      </c>
      <c r="J52" s="91"/>
    </row>
    <row r="53" spans="2:10" ht="15" hidden="1" customHeight="1">
      <c r="B53" s="181">
        <v>10.039999999999999</v>
      </c>
      <c r="C53" s="127" t="s">
        <v>75</v>
      </c>
      <c r="D53" s="186"/>
      <c r="E53" s="186"/>
      <c r="F53" s="126">
        <f t="shared" si="3"/>
        <v>0</v>
      </c>
      <c r="G53" s="178"/>
      <c r="H53" s="178"/>
      <c r="I53" s="126">
        <f t="shared" si="4"/>
        <v>0</v>
      </c>
      <c r="J53" s="91"/>
    </row>
    <row r="54" spans="2:10" ht="15" hidden="1" customHeight="1">
      <c r="B54" s="181">
        <v>10.041</v>
      </c>
      <c r="C54" s="137" t="s">
        <v>76</v>
      </c>
      <c r="D54" s="138">
        <f>SUM(D50:D53)</f>
        <v>0</v>
      </c>
      <c r="E54" s="138">
        <f>SUM(E50:E53)</f>
        <v>0</v>
      </c>
      <c r="F54" s="138">
        <f t="shared" si="3"/>
        <v>0</v>
      </c>
      <c r="G54" s="138">
        <f>SUM(G50:G53)</f>
        <v>0</v>
      </c>
      <c r="H54" s="138">
        <f>SUM(H50:H53)</f>
        <v>0</v>
      </c>
      <c r="I54" s="138">
        <f t="shared" si="4"/>
        <v>0</v>
      </c>
      <c r="J54" s="91"/>
    </row>
    <row r="55" spans="2:10" ht="9.75" customHeight="1">
      <c r="B55" s="181"/>
      <c r="C55" s="136"/>
      <c r="D55" s="126"/>
      <c r="E55" s="126"/>
      <c r="F55" s="126"/>
      <c r="G55" s="126"/>
      <c r="H55" s="126"/>
      <c r="I55" s="126"/>
      <c r="J55" s="91"/>
    </row>
    <row r="56" spans="2:10" ht="15" customHeight="1">
      <c r="B56" s="181"/>
      <c r="C56" s="133" t="s">
        <v>77</v>
      </c>
      <c r="D56" s="126"/>
      <c r="E56" s="126"/>
      <c r="F56" s="126"/>
      <c r="G56" s="126"/>
      <c r="H56" s="126"/>
      <c r="I56" s="126"/>
      <c r="J56" s="91"/>
    </row>
    <row r="57" spans="2:10" ht="15" customHeight="1">
      <c r="B57" s="181">
        <v>10.042</v>
      </c>
      <c r="C57" s="127" t="s">
        <v>121</v>
      </c>
      <c r="D57" s="186">
        <v>0</v>
      </c>
      <c r="E57" s="186">
        <v>0</v>
      </c>
      <c r="F57" s="126">
        <f>E57-D57</f>
        <v>0</v>
      </c>
      <c r="G57" s="295">
        <v>4580</v>
      </c>
      <c r="H57" s="295">
        <v>4580</v>
      </c>
      <c r="I57" s="126">
        <f>H57-G57</f>
        <v>0</v>
      </c>
      <c r="J57" s="91"/>
    </row>
    <row r="58" spans="2:10" ht="15" hidden="1" customHeight="1">
      <c r="B58" s="181">
        <v>10.042999999999999</v>
      </c>
      <c r="C58" s="127" t="s">
        <v>78</v>
      </c>
      <c r="D58" s="186"/>
      <c r="E58" s="186"/>
      <c r="F58" s="126">
        <f>E58-D58</f>
        <v>0</v>
      </c>
      <c r="G58" s="178"/>
      <c r="H58" s="178"/>
      <c r="I58" s="126">
        <f>H58-G58</f>
        <v>0</v>
      </c>
      <c r="J58" s="91"/>
    </row>
    <row r="59" spans="2:10" ht="15" customHeight="1">
      <c r="B59" s="181">
        <v>10.044</v>
      </c>
      <c r="C59" s="139" t="s">
        <v>79</v>
      </c>
      <c r="D59" s="140">
        <f>SUM(D57:D58)</f>
        <v>0</v>
      </c>
      <c r="E59" s="140">
        <f>SUM(E57:E58)</f>
        <v>0</v>
      </c>
      <c r="F59" s="138">
        <f>E59-D59</f>
        <v>0</v>
      </c>
      <c r="G59" s="140">
        <f>SUM(G57:G58)</f>
        <v>4580</v>
      </c>
      <c r="H59" s="141">
        <f>SUM(H57:H58)</f>
        <v>4580</v>
      </c>
      <c r="I59" s="138">
        <f>H59-G59</f>
        <v>0</v>
      </c>
      <c r="J59" s="91"/>
    </row>
    <row r="60" spans="2:10" ht="9.75" customHeight="1">
      <c r="B60" s="181"/>
      <c r="C60" s="352"/>
      <c r="D60" s="353"/>
      <c r="E60" s="353"/>
      <c r="F60" s="353"/>
      <c r="G60" s="353"/>
      <c r="H60" s="353"/>
      <c r="I60" s="354"/>
      <c r="J60" s="91"/>
    </row>
    <row r="61" spans="2:10" ht="15" customHeight="1">
      <c r="B61" s="181">
        <v>10.045</v>
      </c>
      <c r="C61" s="131" t="s">
        <v>80</v>
      </c>
      <c r="D61" s="132">
        <f>D47+D54+D59</f>
        <v>686</v>
      </c>
      <c r="E61" s="132">
        <f>E47+E54+E59</f>
        <v>686</v>
      </c>
      <c r="F61" s="132">
        <f>E61-D61</f>
        <v>0</v>
      </c>
      <c r="G61" s="132">
        <f>G47+G54+G59</f>
        <v>7902</v>
      </c>
      <c r="H61" s="132">
        <f>H47+H54+H59</f>
        <v>7902</v>
      </c>
      <c r="I61" s="132">
        <f>H61-G61</f>
        <v>0</v>
      </c>
      <c r="J61" s="124"/>
    </row>
    <row r="62" spans="2:10" ht="9.75" customHeight="1">
      <c r="B62" s="181"/>
      <c r="C62" s="142"/>
      <c r="D62" s="134"/>
      <c r="E62" s="134"/>
      <c r="F62" s="134"/>
      <c r="G62" s="134"/>
      <c r="H62" s="134"/>
      <c r="I62" s="134"/>
      <c r="J62" s="124"/>
    </row>
    <row r="63" spans="2:10" ht="15" customHeight="1">
      <c r="B63" s="181"/>
      <c r="C63" s="136" t="s">
        <v>81</v>
      </c>
      <c r="D63" s="126"/>
      <c r="E63" s="126"/>
      <c r="F63" s="126"/>
      <c r="G63" s="126"/>
      <c r="H63" s="126"/>
      <c r="I63" s="127"/>
      <c r="J63" s="91"/>
    </row>
    <row r="64" spans="2:10" ht="15" customHeight="1">
      <c r="B64" s="181">
        <v>10.045999999999999</v>
      </c>
      <c r="C64" s="143" t="s">
        <v>122</v>
      </c>
      <c r="D64" s="186">
        <v>639</v>
      </c>
      <c r="E64" s="186">
        <v>639</v>
      </c>
      <c r="F64" s="126">
        <f t="shared" ref="F64:F71" si="5">E64-D64</f>
        <v>0</v>
      </c>
      <c r="G64" s="178">
        <v>812</v>
      </c>
      <c r="H64" s="178">
        <v>812</v>
      </c>
      <c r="I64" s="126">
        <f t="shared" ref="I64:I71" si="6">H64-G64</f>
        <v>0</v>
      </c>
      <c r="J64" s="91"/>
    </row>
    <row r="65" spans="2:10" ht="15" hidden="1" customHeight="1">
      <c r="B65" s="181">
        <v>10.047000000000001</v>
      </c>
      <c r="C65" s="185"/>
      <c r="D65" s="186"/>
      <c r="E65" s="186"/>
      <c r="F65" s="126">
        <f t="shared" si="5"/>
        <v>0</v>
      </c>
      <c r="G65" s="178"/>
      <c r="H65" s="178"/>
      <c r="I65" s="126">
        <f t="shared" si="6"/>
        <v>0</v>
      </c>
      <c r="J65" s="91"/>
    </row>
    <row r="66" spans="2:10" ht="15" hidden="1" customHeight="1">
      <c r="B66" s="181">
        <v>10.048</v>
      </c>
      <c r="C66" s="185"/>
      <c r="D66" s="186"/>
      <c r="E66" s="186"/>
      <c r="F66" s="126">
        <f t="shared" si="5"/>
        <v>0</v>
      </c>
      <c r="G66" s="178"/>
      <c r="H66" s="178"/>
      <c r="I66" s="126">
        <f t="shared" si="6"/>
        <v>0</v>
      </c>
      <c r="J66" s="91"/>
    </row>
    <row r="67" spans="2:10" ht="15" hidden="1" customHeight="1">
      <c r="B67" s="181">
        <v>10.048999999999999</v>
      </c>
      <c r="C67" s="185"/>
      <c r="D67" s="186"/>
      <c r="E67" s="186"/>
      <c r="F67" s="126">
        <f t="shared" si="5"/>
        <v>0</v>
      </c>
      <c r="G67" s="178"/>
      <c r="H67" s="178"/>
      <c r="I67" s="126">
        <f t="shared" si="6"/>
        <v>0</v>
      </c>
      <c r="J67" s="91"/>
    </row>
    <row r="68" spans="2:10" ht="15" hidden="1" customHeight="1">
      <c r="B68" s="181">
        <v>10.050000000000001</v>
      </c>
      <c r="C68" s="185"/>
      <c r="D68" s="186"/>
      <c r="E68" s="186"/>
      <c r="F68" s="126">
        <f t="shared" si="5"/>
        <v>0</v>
      </c>
      <c r="G68" s="178"/>
      <c r="H68" s="178"/>
      <c r="I68" s="126">
        <f t="shared" si="6"/>
        <v>0</v>
      </c>
      <c r="J68" s="91"/>
    </row>
    <row r="69" spans="2:10" ht="15" hidden="1" customHeight="1">
      <c r="B69" s="181">
        <v>10.051</v>
      </c>
      <c r="C69" s="185"/>
      <c r="D69" s="186"/>
      <c r="E69" s="186"/>
      <c r="F69" s="126">
        <f t="shared" si="5"/>
        <v>0</v>
      </c>
      <c r="G69" s="178"/>
      <c r="H69" s="178"/>
      <c r="I69" s="126">
        <f t="shared" si="6"/>
        <v>0</v>
      </c>
      <c r="J69" s="91"/>
    </row>
    <row r="70" spans="2:10" ht="15" hidden="1" customHeight="1">
      <c r="B70" s="181">
        <v>10.052</v>
      </c>
      <c r="C70" s="185"/>
      <c r="D70" s="186"/>
      <c r="E70" s="186"/>
      <c r="F70" s="126">
        <f t="shared" si="5"/>
        <v>0</v>
      </c>
      <c r="G70" s="178"/>
      <c r="H70" s="178"/>
      <c r="I70" s="126">
        <f t="shared" si="6"/>
        <v>0</v>
      </c>
      <c r="J70" s="91"/>
    </row>
    <row r="71" spans="2:10" ht="15" customHeight="1">
      <c r="B71" s="181">
        <v>10.053000000000001</v>
      </c>
      <c r="C71" s="127" t="s">
        <v>166</v>
      </c>
      <c r="D71" s="186">
        <v>0</v>
      </c>
      <c r="E71" s="186">
        <v>0</v>
      </c>
      <c r="F71" s="126">
        <f t="shared" si="5"/>
        <v>0</v>
      </c>
      <c r="G71" s="178">
        <v>0</v>
      </c>
      <c r="H71" s="178">
        <v>0</v>
      </c>
      <c r="I71" s="126">
        <f t="shared" si="6"/>
        <v>0</v>
      </c>
      <c r="J71" s="91"/>
    </row>
    <row r="72" spans="2:10" ht="15" customHeight="1">
      <c r="B72" s="181">
        <v>10.054</v>
      </c>
      <c r="C72" s="131" t="s">
        <v>82</v>
      </c>
      <c r="D72" s="132">
        <f t="shared" ref="D72:I72" si="7">SUM(D64:D71)</f>
        <v>639</v>
      </c>
      <c r="E72" s="132">
        <f t="shared" si="7"/>
        <v>639</v>
      </c>
      <c r="F72" s="132">
        <f t="shared" si="7"/>
        <v>0</v>
      </c>
      <c r="G72" s="132">
        <f t="shared" si="7"/>
        <v>812</v>
      </c>
      <c r="H72" s="132">
        <f t="shared" si="7"/>
        <v>812</v>
      </c>
      <c r="I72" s="132">
        <f t="shared" si="7"/>
        <v>0</v>
      </c>
      <c r="J72" s="91"/>
    </row>
    <row r="73" spans="2:10" ht="9.75" customHeight="1">
      <c r="B73" s="181"/>
      <c r="C73" s="133"/>
      <c r="D73" s="144"/>
      <c r="E73" s="144"/>
      <c r="F73" s="144"/>
      <c r="G73" s="144"/>
      <c r="H73" s="144"/>
      <c r="I73" s="144"/>
      <c r="J73" s="91"/>
    </row>
    <row r="74" spans="2:10" ht="15" hidden="1" customHeight="1">
      <c r="B74" s="181"/>
      <c r="C74" s="136" t="s">
        <v>83</v>
      </c>
      <c r="D74" s="126"/>
      <c r="E74" s="126"/>
      <c r="F74" s="126"/>
      <c r="G74" s="126"/>
      <c r="H74" s="126"/>
      <c r="I74" s="127"/>
      <c r="J74" s="91"/>
    </row>
    <row r="75" spans="2:10" ht="15" hidden="1" customHeight="1">
      <c r="B75" s="181">
        <v>10.055</v>
      </c>
      <c r="C75" s="127" t="s">
        <v>123</v>
      </c>
      <c r="D75" s="186"/>
      <c r="E75" s="186"/>
      <c r="F75" s="126">
        <f>E75-D75</f>
        <v>0</v>
      </c>
      <c r="G75" s="178"/>
      <c r="H75" s="178"/>
      <c r="I75" s="126">
        <f>H75-G75</f>
        <v>0</v>
      </c>
      <c r="J75" s="91"/>
    </row>
    <row r="76" spans="2:10" ht="15" hidden="1" customHeight="1">
      <c r="B76" s="181">
        <v>10.055999999999999</v>
      </c>
      <c r="C76" s="127" t="s">
        <v>124</v>
      </c>
      <c r="D76" s="186"/>
      <c r="E76" s="186"/>
      <c r="F76" s="126"/>
      <c r="G76" s="178"/>
      <c r="H76" s="178"/>
      <c r="I76" s="126"/>
      <c r="J76" s="91"/>
    </row>
    <row r="77" spans="2:10" ht="15" hidden="1" customHeight="1">
      <c r="B77" s="181">
        <v>10.057</v>
      </c>
      <c r="C77" s="127" t="s">
        <v>11</v>
      </c>
      <c r="D77" s="186"/>
      <c r="E77" s="186"/>
      <c r="F77" s="126">
        <f>E77-D77</f>
        <v>0</v>
      </c>
      <c r="G77" s="178"/>
      <c r="H77" s="178"/>
      <c r="I77" s="126">
        <f>H77-G77</f>
        <v>0</v>
      </c>
      <c r="J77" s="91"/>
    </row>
    <row r="78" spans="2:10" ht="15" hidden="1" customHeight="1">
      <c r="B78" s="181">
        <v>10.058</v>
      </c>
      <c r="C78" s="145" t="s">
        <v>84</v>
      </c>
      <c r="D78" s="132">
        <f t="shared" ref="D78:I78" si="8">SUM(D75:D77)</f>
        <v>0</v>
      </c>
      <c r="E78" s="132">
        <f t="shared" si="8"/>
        <v>0</v>
      </c>
      <c r="F78" s="132">
        <f t="shared" si="8"/>
        <v>0</v>
      </c>
      <c r="G78" s="132">
        <f t="shared" si="8"/>
        <v>0</v>
      </c>
      <c r="H78" s="132">
        <f t="shared" si="8"/>
        <v>0</v>
      </c>
      <c r="I78" s="132">
        <f t="shared" si="8"/>
        <v>0</v>
      </c>
      <c r="J78" s="124"/>
    </row>
    <row r="79" spans="2:10" ht="9.75" customHeight="1">
      <c r="B79" s="181"/>
      <c r="C79" s="355"/>
      <c r="D79" s="356"/>
      <c r="E79" s="356"/>
      <c r="F79" s="356"/>
      <c r="G79" s="356"/>
      <c r="H79" s="356"/>
      <c r="I79" s="357"/>
      <c r="J79" s="124"/>
    </row>
    <row r="80" spans="2:10" ht="15" customHeight="1">
      <c r="B80" s="181">
        <v>10.058999999999999</v>
      </c>
      <c r="C80" s="131" t="s">
        <v>125</v>
      </c>
      <c r="D80" s="132">
        <f t="shared" ref="D80:I80" si="9">D36+D61+D72+D78</f>
        <v>1426</v>
      </c>
      <c r="E80" s="132">
        <f t="shared" si="9"/>
        <v>1426</v>
      </c>
      <c r="F80" s="132">
        <f t="shared" si="9"/>
        <v>0</v>
      </c>
      <c r="G80" s="132">
        <f t="shared" si="9"/>
        <v>9947</v>
      </c>
      <c r="H80" s="132">
        <f t="shared" si="9"/>
        <v>9947</v>
      </c>
      <c r="I80" s="132">
        <f t="shared" si="9"/>
        <v>0</v>
      </c>
      <c r="J80" s="91"/>
    </row>
    <row r="81" spans="2:12" ht="9.75" customHeight="1">
      <c r="B81" s="181"/>
      <c r="C81" s="355"/>
      <c r="D81" s="356"/>
      <c r="E81" s="356"/>
      <c r="F81" s="356"/>
      <c r="G81" s="356"/>
      <c r="H81" s="356"/>
      <c r="I81" s="357"/>
      <c r="J81" s="91"/>
    </row>
    <row r="82" spans="2:12" ht="15" hidden="1" customHeight="1">
      <c r="B82" s="181"/>
      <c r="C82" s="136" t="s">
        <v>126</v>
      </c>
      <c r="D82" s="146"/>
      <c r="E82" s="146"/>
      <c r="F82" s="146"/>
      <c r="G82" s="146"/>
      <c r="H82" s="146"/>
      <c r="I82" s="147"/>
      <c r="J82" s="91"/>
    </row>
    <row r="83" spans="2:12" ht="15" hidden="1" customHeight="1">
      <c r="B83" s="181">
        <v>10.06</v>
      </c>
      <c r="C83" s="130" t="s">
        <v>127</v>
      </c>
      <c r="D83" s="144">
        <f>-D76</f>
        <v>0</v>
      </c>
      <c r="E83" s="144">
        <f>-E76</f>
        <v>0</v>
      </c>
      <c r="F83" s="144">
        <f>E83-D83</f>
        <v>0</v>
      </c>
      <c r="G83" s="144">
        <f>-G76</f>
        <v>0</v>
      </c>
      <c r="H83" s="144">
        <f>-H76</f>
        <v>0</v>
      </c>
      <c r="I83" s="126">
        <f>H83-G83</f>
        <v>0</v>
      </c>
      <c r="J83" s="91"/>
    </row>
    <row r="84" spans="2:12" ht="15" hidden="1" customHeight="1">
      <c r="B84" s="181">
        <v>10.061</v>
      </c>
      <c r="C84" s="187" t="s">
        <v>128</v>
      </c>
      <c r="D84" s="126">
        <f>D135</f>
        <v>0</v>
      </c>
      <c r="E84" s="126">
        <f>E135</f>
        <v>0</v>
      </c>
      <c r="F84" s="126">
        <f>E84-D84</f>
        <v>0</v>
      </c>
      <c r="G84" s="126">
        <f>G135</f>
        <v>0</v>
      </c>
      <c r="H84" s="126">
        <f>H135</f>
        <v>0</v>
      </c>
      <c r="I84" s="126">
        <f>H84-G84</f>
        <v>0</v>
      </c>
      <c r="J84" s="91"/>
    </row>
    <row r="85" spans="2:12" ht="15" hidden="1" customHeight="1">
      <c r="B85" s="181">
        <v>10.061999999999999</v>
      </c>
      <c r="C85" s="188" t="s">
        <v>129</v>
      </c>
      <c r="D85" s="186"/>
      <c r="E85" s="186"/>
      <c r="F85" s="126">
        <f>E85-D85</f>
        <v>0</v>
      </c>
      <c r="G85" s="178"/>
      <c r="H85" s="178"/>
      <c r="I85" s="126">
        <f>H85-G85</f>
        <v>0</v>
      </c>
      <c r="J85" s="91"/>
      <c r="L85" s="148"/>
    </row>
    <row r="86" spans="2:12" ht="15" hidden="1" customHeight="1">
      <c r="B86" s="181">
        <v>10.063000000000001</v>
      </c>
      <c r="C86" s="189" t="s">
        <v>130</v>
      </c>
      <c r="D86" s="150">
        <f t="shared" ref="D86:I86" si="10">SUM(D83:D85)</f>
        <v>0</v>
      </c>
      <c r="E86" s="150">
        <f t="shared" si="10"/>
        <v>0</v>
      </c>
      <c r="F86" s="150">
        <f t="shared" si="10"/>
        <v>0</v>
      </c>
      <c r="G86" s="150">
        <f t="shared" si="10"/>
        <v>0</v>
      </c>
      <c r="H86" s="150">
        <f t="shared" si="10"/>
        <v>0</v>
      </c>
      <c r="I86" s="150">
        <f t="shared" si="10"/>
        <v>0</v>
      </c>
      <c r="J86" s="91"/>
    </row>
    <row r="87" spans="2:12" ht="9.75" customHeight="1">
      <c r="B87" s="181"/>
      <c r="C87" s="351"/>
      <c r="D87" s="348"/>
      <c r="E87" s="348"/>
      <c r="F87" s="348"/>
      <c r="G87" s="348"/>
      <c r="H87" s="348"/>
      <c r="I87" s="350"/>
      <c r="J87" s="91"/>
    </row>
    <row r="88" spans="2:12" ht="15" customHeight="1">
      <c r="B88" s="181">
        <v>10.064</v>
      </c>
      <c r="C88" s="190" t="s">
        <v>131</v>
      </c>
      <c r="D88" s="132">
        <f t="shared" ref="D88:I88" si="11">D80+D86</f>
        <v>1426</v>
      </c>
      <c r="E88" s="132">
        <f t="shared" si="11"/>
        <v>1426</v>
      </c>
      <c r="F88" s="132">
        <f t="shared" si="11"/>
        <v>0</v>
      </c>
      <c r="G88" s="132">
        <f t="shared" si="11"/>
        <v>9947</v>
      </c>
      <c r="H88" s="132">
        <f t="shared" si="11"/>
        <v>9947</v>
      </c>
      <c r="I88" s="132">
        <f t="shared" si="11"/>
        <v>0</v>
      </c>
      <c r="J88" s="91"/>
    </row>
    <row r="89" spans="2:12" ht="9.75" customHeight="1">
      <c r="B89" s="181"/>
      <c r="C89" s="349"/>
      <c r="D89" s="348"/>
      <c r="E89" s="348"/>
      <c r="F89" s="348"/>
      <c r="G89" s="348"/>
      <c r="H89" s="348"/>
      <c r="I89" s="350"/>
      <c r="J89" s="91"/>
    </row>
    <row r="90" spans="2:12" ht="15" hidden="1" customHeight="1">
      <c r="B90" s="181"/>
      <c r="C90" s="151" t="s">
        <v>132</v>
      </c>
      <c r="D90" s="126"/>
      <c r="E90" s="126"/>
      <c r="F90" s="126"/>
      <c r="G90" s="126"/>
      <c r="H90" s="126"/>
      <c r="I90" s="126"/>
      <c r="J90" s="91"/>
    </row>
    <row r="91" spans="2:12" ht="15" hidden="1" customHeight="1">
      <c r="B91" s="181">
        <v>10.065</v>
      </c>
      <c r="C91" s="130" t="s">
        <v>133</v>
      </c>
      <c r="D91" s="144">
        <f>D149</f>
        <v>0</v>
      </c>
      <c r="E91" s="144">
        <f>E149</f>
        <v>0</v>
      </c>
      <c r="F91" s="126">
        <f>E91-D91</f>
        <v>0</v>
      </c>
      <c r="G91" s="144">
        <f>G149</f>
        <v>0</v>
      </c>
      <c r="H91" s="144">
        <f>H149</f>
        <v>0</v>
      </c>
      <c r="I91" s="126">
        <f>H91-G91</f>
        <v>0</v>
      </c>
      <c r="J91" s="91"/>
    </row>
    <row r="92" spans="2:12" ht="9.75" customHeight="1">
      <c r="B92" s="181"/>
      <c r="C92" s="351"/>
      <c r="D92" s="348"/>
      <c r="E92" s="348"/>
      <c r="F92" s="348"/>
      <c r="G92" s="348"/>
      <c r="H92" s="348"/>
      <c r="I92" s="350"/>
      <c r="J92" s="91"/>
    </row>
    <row r="93" spans="2:12" ht="15" customHeight="1">
      <c r="B93" s="181">
        <v>10.066000000000001</v>
      </c>
      <c r="C93" s="190" t="s">
        <v>134</v>
      </c>
      <c r="D93" s="153">
        <f t="shared" ref="D93:I93" si="12">D88+D91</f>
        <v>1426</v>
      </c>
      <c r="E93" s="153">
        <f t="shared" si="12"/>
        <v>1426</v>
      </c>
      <c r="F93" s="153">
        <f t="shared" si="12"/>
        <v>0</v>
      </c>
      <c r="G93" s="153">
        <f t="shared" si="12"/>
        <v>9947</v>
      </c>
      <c r="H93" s="153">
        <f t="shared" si="12"/>
        <v>9947</v>
      </c>
      <c r="I93" s="153">
        <f t="shared" si="12"/>
        <v>0</v>
      </c>
      <c r="J93" s="91"/>
    </row>
    <row r="94" spans="2:12" ht="15" customHeight="1">
      <c r="B94" s="181"/>
      <c r="C94" s="191"/>
      <c r="D94" s="192"/>
      <c r="E94" s="192"/>
      <c r="F94" s="192"/>
      <c r="G94" s="192"/>
      <c r="H94" s="192"/>
      <c r="I94" s="191"/>
      <c r="J94" s="91"/>
    </row>
    <row r="95" spans="2:12" ht="15" customHeight="1">
      <c r="B95" s="181"/>
      <c r="C95" s="136" t="s">
        <v>135</v>
      </c>
      <c r="D95" s="126"/>
      <c r="E95" s="126"/>
      <c r="F95" s="126"/>
      <c r="G95" s="126"/>
      <c r="H95" s="126"/>
      <c r="I95" s="127"/>
      <c r="J95" s="91"/>
    </row>
    <row r="96" spans="2:12" ht="15" customHeight="1">
      <c r="B96" s="181">
        <v>10.067</v>
      </c>
      <c r="C96" s="187" t="s">
        <v>136</v>
      </c>
      <c r="D96" s="186">
        <v>1426</v>
      </c>
      <c r="E96" s="186">
        <v>1426</v>
      </c>
      <c r="F96" s="144">
        <f t="shared" ref="F96:F101" si="13">E96-D96</f>
        <v>0</v>
      </c>
      <c r="G96" s="178">
        <v>7691</v>
      </c>
      <c r="H96" s="178">
        <v>7691</v>
      </c>
      <c r="I96" s="126">
        <f t="shared" ref="I96:I101" si="14">H96-G96</f>
        <v>0</v>
      </c>
      <c r="J96" s="91"/>
    </row>
    <row r="97" spans="2:10" ht="15" customHeight="1">
      <c r="B97" s="181">
        <v>10.068</v>
      </c>
      <c r="C97" s="187" t="s">
        <v>137</v>
      </c>
      <c r="D97" s="186">
        <v>0</v>
      </c>
      <c r="E97" s="186">
        <v>0</v>
      </c>
      <c r="F97" s="126">
        <f t="shared" si="13"/>
        <v>0</v>
      </c>
      <c r="G97" s="178">
        <v>0</v>
      </c>
      <c r="H97" s="178">
        <v>0</v>
      </c>
      <c r="I97" s="126">
        <f t="shared" si="14"/>
        <v>0</v>
      </c>
      <c r="J97" s="91"/>
    </row>
    <row r="98" spans="2:10" ht="15" customHeight="1">
      <c r="B98" s="181">
        <v>10.069000000000001</v>
      </c>
      <c r="C98" s="187" t="s">
        <v>138</v>
      </c>
      <c r="D98" s="186">
        <v>0</v>
      </c>
      <c r="E98" s="186">
        <v>0</v>
      </c>
      <c r="F98" s="126">
        <f t="shared" si="13"/>
        <v>0</v>
      </c>
      <c r="G98" s="178">
        <v>0</v>
      </c>
      <c r="H98" s="178">
        <v>0</v>
      </c>
      <c r="I98" s="126">
        <f t="shared" si="14"/>
        <v>0</v>
      </c>
      <c r="J98" s="91"/>
    </row>
    <row r="99" spans="2:10" ht="15" customHeight="1">
      <c r="B99" s="181">
        <v>10.07</v>
      </c>
      <c r="C99" s="187" t="s">
        <v>139</v>
      </c>
      <c r="D99" s="186">
        <v>0</v>
      </c>
      <c r="E99" s="186">
        <v>0</v>
      </c>
      <c r="F99" s="126">
        <f t="shared" si="13"/>
        <v>0</v>
      </c>
      <c r="G99" s="178">
        <v>0</v>
      </c>
      <c r="H99" s="178">
        <v>0</v>
      </c>
      <c r="I99" s="126">
        <f t="shared" si="14"/>
        <v>0</v>
      </c>
      <c r="J99" s="91"/>
    </row>
    <row r="100" spans="2:10" ht="15" customHeight="1">
      <c r="B100" s="181">
        <v>10.071</v>
      </c>
      <c r="C100" s="187" t="s">
        <v>140</v>
      </c>
      <c r="D100" s="186">
        <v>0</v>
      </c>
      <c r="E100" s="186">
        <v>0</v>
      </c>
      <c r="F100" s="126">
        <f t="shared" si="13"/>
        <v>0</v>
      </c>
      <c r="G100" s="178">
        <v>0</v>
      </c>
      <c r="H100" s="178">
        <v>0</v>
      </c>
      <c r="I100" s="126">
        <f t="shared" si="14"/>
        <v>0</v>
      </c>
      <c r="J100" s="91"/>
    </row>
    <row r="101" spans="2:10" ht="15" customHeight="1">
      <c r="B101" s="181">
        <v>10.071999999999999</v>
      </c>
      <c r="C101" s="187" t="s">
        <v>141</v>
      </c>
      <c r="D101" s="193">
        <v>0</v>
      </c>
      <c r="E101" s="186">
        <v>0</v>
      </c>
      <c r="F101" s="126">
        <f t="shared" si="13"/>
        <v>0</v>
      </c>
      <c r="G101" s="178">
        <v>2256</v>
      </c>
      <c r="H101" s="178">
        <v>2256</v>
      </c>
      <c r="I101" s="126">
        <f t="shared" si="14"/>
        <v>0</v>
      </c>
      <c r="J101" s="91"/>
    </row>
    <row r="102" spans="2:10" ht="15" customHeight="1">
      <c r="B102" s="181">
        <v>10.073</v>
      </c>
      <c r="C102" s="131" t="s">
        <v>142</v>
      </c>
      <c r="D102" s="132">
        <f t="shared" ref="D102:I102" si="15">SUM(D96:D101)</f>
        <v>1426</v>
      </c>
      <c r="E102" s="132">
        <f t="shared" si="15"/>
        <v>1426</v>
      </c>
      <c r="F102" s="132">
        <f t="shared" si="15"/>
        <v>0</v>
      </c>
      <c r="G102" s="132">
        <f t="shared" si="15"/>
        <v>9947</v>
      </c>
      <c r="H102" s="132">
        <f t="shared" si="15"/>
        <v>9947</v>
      </c>
      <c r="I102" s="132">
        <f t="shared" si="15"/>
        <v>0</v>
      </c>
      <c r="J102" s="91"/>
    </row>
    <row r="103" spans="2:10" ht="15" customHeight="1">
      <c r="B103" s="181"/>
      <c r="C103" s="347"/>
      <c r="D103" s="348"/>
      <c r="E103" s="348"/>
      <c r="F103" s="348"/>
      <c r="G103" s="348"/>
      <c r="H103" s="348"/>
      <c r="I103" s="348"/>
      <c r="J103" s="91"/>
    </row>
    <row r="104" spans="2:10" ht="15" customHeight="1">
      <c r="B104" s="181">
        <v>10.074</v>
      </c>
      <c r="C104" s="194" t="s">
        <v>143</v>
      </c>
      <c r="D104" s="195">
        <f>D102-D93</f>
        <v>0</v>
      </c>
      <c r="E104" s="196">
        <f>E102-E93</f>
        <v>0</v>
      </c>
      <c r="F104" s="196">
        <f>E104-D104</f>
        <v>0</v>
      </c>
      <c r="G104" s="196">
        <f>G102-G93</f>
        <v>0</v>
      </c>
      <c r="H104" s="196">
        <f>H102-H93</f>
        <v>0</v>
      </c>
      <c r="I104" s="196">
        <f>H104-G104</f>
        <v>0</v>
      </c>
      <c r="J104" s="91"/>
    </row>
    <row r="105" spans="2:10" ht="15" customHeight="1" thickBot="1">
      <c r="B105" s="197"/>
      <c r="C105" s="109"/>
      <c r="D105" s="109"/>
      <c r="E105" s="109"/>
      <c r="F105" s="109"/>
      <c r="G105" s="109"/>
      <c r="H105" s="109"/>
      <c r="I105" s="109"/>
      <c r="J105" s="110"/>
    </row>
    <row r="106" spans="2:10" ht="15" hidden="1" customHeight="1" thickBot="1">
      <c r="B106" s="201"/>
      <c r="C106" s="202"/>
      <c r="D106" s="202"/>
      <c r="E106" s="202"/>
      <c r="F106" s="202"/>
      <c r="G106" s="202"/>
      <c r="H106" s="202"/>
      <c r="I106" s="202"/>
      <c r="J106" s="203"/>
    </row>
    <row r="107" spans="2:10" ht="15" hidden="1" customHeight="1">
      <c r="B107" s="179"/>
      <c r="C107" s="80"/>
      <c r="D107" s="80"/>
      <c r="E107" s="80"/>
      <c r="F107" s="80"/>
      <c r="G107" s="80"/>
      <c r="H107" s="80"/>
      <c r="I107" s="80"/>
      <c r="J107" s="82"/>
    </row>
    <row r="108" spans="2:10" ht="15" hidden="1" customHeight="1">
      <c r="B108" s="181"/>
      <c r="C108" s="344" t="s">
        <v>144</v>
      </c>
      <c r="D108" s="346" t="s">
        <v>1</v>
      </c>
      <c r="E108" s="346"/>
      <c r="F108" s="346"/>
      <c r="G108" s="346" t="s">
        <v>116</v>
      </c>
      <c r="H108" s="346"/>
      <c r="I108" s="346"/>
      <c r="J108" s="91"/>
    </row>
    <row r="109" spans="2:10" ht="45" hidden="1" customHeight="1">
      <c r="B109" s="182" t="s">
        <v>56</v>
      </c>
      <c r="C109" s="345"/>
      <c r="D109" s="125" t="s">
        <v>57</v>
      </c>
      <c r="E109" s="125" t="s">
        <v>58</v>
      </c>
      <c r="F109" s="125" t="s">
        <v>59</v>
      </c>
      <c r="G109" s="125" t="s">
        <v>60</v>
      </c>
      <c r="H109" s="125" t="s">
        <v>61</v>
      </c>
      <c r="I109" s="125" t="s">
        <v>62</v>
      </c>
      <c r="J109" s="91"/>
    </row>
    <row r="110" spans="2:10" ht="15" hidden="1" customHeight="1">
      <c r="B110" s="182"/>
      <c r="C110" s="204" t="s">
        <v>145</v>
      </c>
      <c r="D110" s="205"/>
      <c r="E110" s="205"/>
      <c r="F110" s="205"/>
      <c r="G110" s="205"/>
      <c r="H110" s="205"/>
      <c r="I110" s="205"/>
      <c r="J110" s="91"/>
    </row>
    <row r="111" spans="2:10" ht="15" hidden="1" customHeight="1">
      <c r="B111" s="181"/>
      <c r="C111" s="136" t="s">
        <v>86</v>
      </c>
      <c r="D111" s="126"/>
      <c r="E111" s="126"/>
      <c r="F111" s="126"/>
      <c r="G111" s="126"/>
      <c r="H111" s="126"/>
      <c r="I111" s="127"/>
      <c r="J111" s="91"/>
    </row>
    <row r="112" spans="2:10" ht="15" hidden="1" customHeight="1">
      <c r="B112" s="181">
        <v>10.074999999999999</v>
      </c>
      <c r="C112" s="185"/>
      <c r="D112" s="186"/>
      <c r="E112" s="186"/>
      <c r="F112" s="144">
        <f t="shared" ref="F112:F121" si="16">E112-D112</f>
        <v>0</v>
      </c>
      <c r="G112" s="178"/>
      <c r="H112" s="178"/>
      <c r="I112" s="126">
        <f t="shared" ref="I112:I121" si="17">H112-G112</f>
        <v>0</v>
      </c>
      <c r="J112" s="91"/>
    </row>
    <row r="113" spans="2:10" ht="15" hidden="1" customHeight="1">
      <c r="B113" s="181">
        <v>10.076000000000001</v>
      </c>
      <c r="C113" s="185"/>
      <c r="D113" s="186"/>
      <c r="E113" s="186"/>
      <c r="F113" s="126">
        <f t="shared" si="16"/>
        <v>0</v>
      </c>
      <c r="G113" s="178"/>
      <c r="H113" s="178"/>
      <c r="I113" s="126">
        <f t="shared" si="17"/>
        <v>0</v>
      </c>
      <c r="J113" s="91"/>
    </row>
    <row r="114" spans="2:10" ht="15" hidden="1" customHeight="1">
      <c r="B114" s="181">
        <v>10.077</v>
      </c>
      <c r="C114" s="185"/>
      <c r="D114" s="186"/>
      <c r="E114" s="186"/>
      <c r="F114" s="126">
        <f t="shared" si="16"/>
        <v>0</v>
      </c>
      <c r="G114" s="178"/>
      <c r="H114" s="178"/>
      <c r="I114" s="126">
        <f t="shared" si="17"/>
        <v>0</v>
      </c>
      <c r="J114" s="91"/>
    </row>
    <row r="115" spans="2:10" ht="15" hidden="1" customHeight="1">
      <c r="B115" s="181">
        <v>10.077999999999999</v>
      </c>
      <c r="C115" s="185"/>
      <c r="D115" s="186"/>
      <c r="E115" s="186"/>
      <c r="F115" s="126">
        <f t="shared" si="16"/>
        <v>0</v>
      </c>
      <c r="G115" s="178"/>
      <c r="H115" s="178"/>
      <c r="I115" s="126">
        <f t="shared" si="17"/>
        <v>0</v>
      </c>
      <c r="J115" s="91"/>
    </row>
    <row r="116" spans="2:10" ht="15" hidden="1" customHeight="1">
      <c r="B116" s="181">
        <v>10.079000000000001</v>
      </c>
      <c r="C116" s="185"/>
      <c r="D116" s="186"/>
      <c r="E116" s="186"/>
      <c r="F116" s="126">
        <f t="shared" si="16"/>
        <v>0</v>
      </c>
      <c r="G116" s="178"/>
      <c r="H116" s="178"/>
      <c r="I116" s="126">
        <f t="shared" si="17"/>
        <v>0</v>
      </c>
      <c r="J116" s="91"/>
    </row>
    <row r="117" spans="2:10" ht="15" hidden="1" customHeight="1">
      <c r="B117" s="181">
        <v>10.08</v>
      </c>
      <c r="C117" s="185"/>
      <c r="D117" s="186"/>
      <c r="E117" s="186"/>
      <c r="F117" s="126">
        <f t="shared" si="16"/>
        <v>0</v>
      </c>
      <c r="G117" s="178"/>
      <c r="H117" s="178"/>
      <c r="I117" s="126">
        <f t="shared" si="17"/>
        <v>0</v>
      </c>
      <c r="J117" s="91"/>
    </row>
    <row r="118" spans="2:10" ht="15" hidden="1" customHeight="1">
      <c r="B118" s="181">
        <v>10.081</v>
      </c>
      <c r="C118" s="185"/>
      <c r="D118" s="186"/>
      <c r="E118" s="186"/>
      <c r="F118" s="126">
        <f t="shared" si="16"/>
        <v>0</v>
      </c>
      <c r="G118" s="178"/>
      <c r="H118" s="178"/>
      <c r="I118" s="126">
        <f t="shared" si="17"/>
        <v>0</v>
      </c>
      <c r="J118" s="91"/>
    </row>
    <row r="119" spans="2:10" ht="15" hidden="1" customHeight="1">
      <c r="B119" s="181">
        <v>10.082000000000001</v>
      </c>
      <c r="C119" s="185"/>
      <c r="D119" s="186"/>
      <c r="E119" s="186"/>
      <c r="F119" s="126">
        <f t="shared" si="16"/>
        <v>0</v>
      </c>
      <c r="G119" s="178"/>
      <c r="H119" s="178"/>
      <c r="I119" s="126">
        <f t="shared" si="17"/>
        <v>0</v>
      </c>
      <c r="J119" s="91"/>
    </row>
    <row r="120" spans="2:10" ht="15" hidden="1" customHeight="1">
      <c r="B120" s="181">
        <v>10.083</v>
      </c>
      <c r="C120" s="185"/>
      <c r="D120" s="186"/>
      <c r="E120" s="186"/>
      <c r="F120" s="126">
        <f t="shared" si="16"/>
        <v>0</v>
      </c>
      <c r="G120" s="178"/>
      <c r="H120" s="178"/>
      <c r="I120" s="126">
        <f t="shared" si="17"/>
        <v>0</v>
      </c>
      <c r="J120" s="91"/>
    </row>
    <row r="121" spans="2:10" ht="15" hidden="1" customHeight="1">
      <c r="B121" s="181">
        <v>10.084</v>
      </c>
      <c r="C121" s="156" t="s">
        <v>87</v>
      </c>
      <c r="D121" s="206"/>
      <c r="E121" s="206"/>
      <c r="F121" s="149">
        <f t="shared" si="16"/>
        <v>0</v>
      </c>
      <c r="G121" s="178"/>
      <c r="H121" s="178"/>
      <c r="I121" s="149">
        <f t="shared" si="17"/>
        <v>0</v>
      </c>
      <c r="J121" s="91"/>
    </row>
    <row r="122" spans="2:10" ht="15" hidden="1" customHeight="1">
      <c r="B122" s="181">
        <v>10.085000000000001</v>
      </c>
      <c r="C122" s="157" t="s">
        <v>88</v>
      </c>
      <c r="D122" s="132">
        <f t="shared" ref="D122:I122" si="18">SUM(D112:D121)</f>
        <v>0</v>
      </c>
      <c r="E122" s="132">
        <f t="shared" si="18"/>
        <v>0</v>
      </c>
      <c r="F122" s="132">
        <f t="shared" si="18"/>
        <v>0</v>
      </c>
      <c r="G122" s="132">
        <f t="shared" si="18"/>
        <v>0</v>
      </c>
      <c r="H122" s="132">
        <f t="shared" si="18"/>
        <v>0</v>
      </c>
      <c r="I122" s="132">
        <f t="shared" si="18"/>
        <v>0</v>
      </c>
      <c r="J122" s="91"/>
    </row>
    <row r="123" spans="2:10" ht="9.75" hidden="1" customHeight="1">
      <c r="B123" s="181"/>
      <c r="C123" s="207"/>
      <c r="D123" s="208"/>
      <c r="E123" s="208"/>
      <c r="F123" s="208"/>
      <c r="G123" s="208"/>
      <c r="H123" s="208"/>
      <c r="I123" s="208"/>
      <c r="J123" s="91"/>
    </row>
    <row r="124" spans="2:10" ht="15" hidden="1" customHeight="1">
      <c r="B124" s="181"/>
      <c r="C124" s="209" t="s">
        <v>146</v>
      </c>
      <c r="D124" s="210"/>
      <c r="E124" s="146"/>
      <c r="F124" s="146"/>
      <c r="G124" s="146"/>
      <c r="H124" s="146"/>
      <c r="I124" s="147"/>
      <c r="J124" s="91"/>
    </row>
    <row r="125" spans="2:10" ht="15" hidden="1" customHeight="1">
      <c r="B125" s="181">
        <v>10.086</v>
      </c>
      <c r="C125" s="185"/>
      <c r="D125" s="186"/>
      <c r="E125" s="186"/>
      <c r="F125" s="144">
        <f t="shared" ref="F125:F134" si="19">E125-D125</f>
        <v>0</v>
      </c>
      <c r="G125" s="178"/>
      <c r="H125" s="178"/>
      <c r="I125" s="126">
        <f t="shared" ref="I125:I134" si="20">H125-G125</f>
        <v>0</v>
      </c>
      <c r="J125" s="91"/>
    </row>
    <row r="126" spans="2:10" ht="15" hidden="1" customHeight="1">
      <c r="B126" s="181">
        <v>10.087</v>
      </c>
      <c r="C126" s="185"/>
      <c r="D126" s="186"/>
      <c r="E126" s="186"/>
      <c r="F126" s="126">
        <f t="shared" si="19"/>
        <v>0</v>
      </c>
      <c r="G126" s="178"/>
      <c r="H126" s="178"/>
      <c r="I126" s="126">
        <f t="shared" si="20"/>
        <v>0</v>
      </c>
      <c r="J126" s="91"/>
    </row>
    <row r="127" spans="2:10" ht="15" hidden="1" customHeight="1">
      <c r="B127" s="181">
        <v>10.087999999999999</v>
      </c>
      <c r="C127" s="185"/>
      <c r="D127" s="186"/>
      <c r="E127" s="186"/>
      <c r="F127" s="126">
        <f t="shared" si="19"/>
        <v>0</v>
      </c>
      <c r="G127" s="178"/>
      <c r="H127" s="178"/>
      <c r="I127" s="126">
        <f t="shared" si="20"/>
        <v>0</v>
      </c>
      <c r="J127" s="91"/>
    </row>
    <row r="128" spans="2:10" ht="15" hidden="1" customHeight="1">
      <c r="B128" s="181">
        <v>10.089</v>
      </c>
      <c r="C128" s="185"/>
      <c r="D128" s="186"/>
      <c r="E128" s="186"/>
      <c r="F128" s="126">
        <f t="shared" si="19"/>
        <v>0</v>
      </c>
      <c r="G128" s="178"/>
      <c r="H128" s="178"/>
      <c r="I128" s="126">
        <f t="shared" si="20"/>
        <v>0</v>
      </c>
      <c r="J128" s="91"/>
    </row>
    <row r="129" spans="2:11" ht="15" hidden="1" customHeight="1">
      <c r="B129" s="181">
        <v>10.09</v>
      </c>
      <c r="C129" s="185"/>
      <c r="D129" s="186"/>
      <c r="E129" s="186"/>
      <c r="F129" s="126">
        <f t="shared" si="19"/>
        <v>0</v>
      </c>
      <c r="G129" s="178"/>
      <c r="H129" s="178"/>
      <c r="I129" s="126">
        <f t="shared" si="20"/>
        <v>0</v>
      </c>
      <c r="J129" s="91"/>
    </row>
    <row r="130" spans="2:11" ht="15" hidden="1" customHeight="1">
      <c r="B130" s="181">
        <v>10.090999999999999</v>
      </c>
      <c r="C130" s="185"/>
      <c r="D130" s="186"/>
      <c r="E130" s="186"/>
      <c r="F130" s="126">
        <f t="shared" si="19"/>
        <v>0</v>
      </c>
      <c r="G130" s="178"/>
      <c r="H130" s="178"/>
      <c r="I130" s="126">
        <f t="shared" si="20"/>
        <v>0</v>
      </c>
      <c r="J130" s="91"/>
    </row>
    <row r="131" spans="2:11" ht="15" hidden="1" customHeight="1">
      <c r="B131" s="181">
        <v>10.092000000000001</v>
      </c>
      <c r="C131" s="185"/>
      <c r="D131" s="186"/>
      <c r="E131" s="186"/>
      <c r="F131" s="126">
        <f t="shared" si="19"/>
        <v>0</v>
      </c>
      <c r="G131" s="178"/>
      <c r="H131" s="178"/>
      <c r="I131" s="126">
        <f t="shared" si="20"/>
        <v>0</v>
      </c>
      <c r="J131" s="91"/>
    </row>
    <row r="132" spans="2:11" ht="15" hidden="1" customHeight="1">
      <c r="B132" s="181">
        <v>10.093</v>
      </c>
      <c r="C132" s="185"/>
      <c r="D132" s="186"/>
      <c r="E132" s="186"/>
      <c r="F132" s="126">
        <f t="shared" si="19"/>
        <v>0</v>
      </c>
      <c r="G132" s="178"/>
      <c r="H132" s="178"/>
      <c r="I132" s="126">
        <f t="shared" si="20"/>
        <v>0</v>
      </c>
      <c r="J132" s="91"/>
    </row>
    <row r="133" spans="2:11" ht="15" hidden="1" customHeight="1">
      <c r="B133" s="181">
        <v>10.093999999999999</v>
      </c>
      <c r="C133" s="185"/>
      <c r="D133" s="186"/>
      <c r="E133" s="186"/>
      <c r="F133" s="126">
        <f t="shared" si="19"/>
        <v>0</v>
      </c>
      <c r="G133" s="178"/>
      <c r="H133" s="178"/>
      <c r="I133" s="126">
        <f t="shared" si="20"/>
        <v>0</v>
      </c>
      <c r="J133" s="91"/>
    </row>
    <row r="134" spans="2:11" ht="15" hidden="1" customHeight="1">
      <c r="B134" s="181">
        <v>10.095000000000001</v>
      </c>
      <c r="C134" s="211"/>
      <c r="D134" s="206"/>
      <c r="E134" s="206"/>
      <c r="F134" s="149">
        <f t="shared" si="19"/>
        <v>0</v>
      </c>
      <c r="G134" s="178"/>
      <c r="H134" s="178"/>
      <c r="I134" s="149">
        <f t="shared" si="20"/>
        <v>0</v>
      </c>
      <c r="J134" s="91"/>
    </row>
    <row r="135" spans="2:11" ht="15" hidden="1" customHeight="1">
      <c r="B135" s="181">
        <v>10.096</v>
      </c>
      <c r="C135" s="131" t="s">
        <v>147</v>
      </c>
      <c r="D135" s="132">
        <f t="shared" ref="D135:I135" si="21">SUM(D125:D134)</f>
        <v>0</v>
      </c>
      <c r="E135" s="132">
        <f t="shared" si="21"/>
        <v>0</v>
      </c>
      <c r="F135" s="132">
        <f t="shared" si="21"/>
        <v>0</v>
      </c>
      <c r="G135" s="132">
        <f t="shared" si="21"/>
        <v>0</v>
      </c>
      <c r="H135" s="132">
        <f t="shared" si="21"/>
        <v>0</v>
      </c>
      <c r="I135" s="132">
        <f t="shared" si="21"/>
        <v>0</v>
      </c>
      <c r="J135" s="91"/>
    </row>
    <row r="136" spans="2:11" ht="9.75" hidden="1" customHeight="1">
      <c r="B136" s="181"/>
      <c r="C136" s="87"/>
      <c r="D136" s="87"/>
      <c r="E136" s="87"/>
      <c r="F136" s="87"/>
      <c r="G136" s="87"/>
      <c r="H136" s="87"/>
      <c r="I136" s="87"/>
      <c r="J136" s="91"/>
      <c r="K136" s="119"/>
    </row>
    <row r="137" spans="2:11" ht="15" hidden="1" customHeight="1">
      <c r="B137" s="181"/>
      <c r="C137" s="154" t="s">
        <v>148</v>
      </c>
      <c r="D137" s="146"/>
      <c r="E137" s="146"/>
      <c r="F137" s="146"/>
      <c r="G137" s="146"/>
      <c r="H137" s="146"/>
      <c r="I137" s="147"/>
      <c r="J137" s="91"/>
    </row>
    <row r="138" spans="2:11" ht="15" hidden="1" customHeight="1">
      <c r="B138" s="181">
        <v>10.097</v>
      </c>
      <c r="C138" s="185"/>
      <c r="D138" s="186"/>
      <c r="E138" s="186"/>
      <c r="F138" s="144">
        <f t="shared" ref="F138:F148" si="22">E138-D138</f>
        <v>0</v>
      </c>
      <c r="G138" s="178"/>
      <c r="H138" s="178"/>
      <c r="I138" s="126">
        <f t="shared" ref="I138:I148" si="23">H138-G138</f>
        <v>0</v>
      </c>
      <c r="J138" s="91"/>
    </row>
    <row r="139" spans="2:11" ht="15" hidden="1" customHeight="1">
      <c r="B139" s="181">
        <v>10.098000000000001</v>
      </c>
      <c r="C139" s="185"/>
      <c r="D139" s="186"/>
      <c r="E139" s="186"/>
      <c r="F139" s="126">
        <f t="shared" si="22"/>
        <v>0</v>
      </c>
      <c r="G139" s="178"/>
      <c r="H139" s="178"/>
      <c r="I139" s="126">
        <f t="shared" si="23"/>
        <v>0</v>
      </c>
      <c r="J139" s="91"/>
    </row>
    <row r="140" spans="2:11" ht="15" hidden="1" customHeight="1">
      <c r="B140" s="181">
        <v>10.099</v>
      </c>
      <c r="C140" s="185"/>
      <c r="D140" s="186"/>
      <c r="E140" s="186"/>
      <c r="F140" s="126">
        <f t="shared" si="22"/>
        <v>0</v>
      </c>
      <c r="G140" s="178"/>
      <c r="H140" s="178"/>
      <c r="I140" s="126">
        <f t="shared" si="23"/>
        <v>0</v>
      </c>
      <c r="J140" s="91"/>
    </row>
    <row r="141" spans="2:11" ht="15" hidden="1" customHeight="1">
      <c r="B141" s="181">
        <v>10.1</v>
      </c>
      <c r="C141" s="185"/>
      <c r="D141" s="186"/>
      <c r="E141" s="186"/>
      <c r="F141" s="126">
        <f t="shared" si="22"/>
        <v>0</v>
      </c>
      <c r="G141" s="178"/>
      <c r="H141" s="178"/>
      <c r="I141" s="126">
        <f t="shared" si="23"/>
        <v>0</v>
      </c>
      <c r="J141" s="91"/>
    </row>
    <row r="142" spans="2:11" ht="15" hidden="1" customHeight="1">
      <c r="B142" s="181">
        <v>10.101000000000001</v>
      </c>
      <c r="C142" s="185"/>
      <c r="D142" s="186"/>
      <c r="E142" s="186"/>
      <c r="F142" s="126">
        <f t="shared" si="22"/>
        <v>0</v>
      </c>
      <c r="G142" s="178"/>
      <c r="H142" s="178"/>
      <c r="I142" s="126">
        <f t="shared" si="23"/>
        <v>0</v>
      </c>
      <c r="J142" s="91"/>
    </row>
    <row r="143" spans="2:11" ht="15" hidden="1" customHeight="1">
      <c r="B143" s="181">
        <v>10.102</v>
      </c>
      <c r="C143" s="185"/>
      <c r="D143" s="186"/>
      <c r="E143" s="186"/>
      <c r="F143" s="126">
        <f t="shared" si="22"/>
        <v>0</v>
      </c>
      <c r="G143" s="178"/>
      <c r="H143" s="178"/>
      <c r="I143" s="126">
        <f t="shared" si="23"/>
        <v>0</v>
      </c>
      <c r="J143" s="91"/>
    </row>
    <row r="144" spans="2:11" ht="15" hidden="1" customHeight="1">
      <c r="B144" s="181">
        <v>10.103</v>
      </c>
      <c r="C144" s="185"/>
      <c r="D144" s="186"/>
      <c r="E144" s="186"/>
      <c r="F144" s="126">
        <f t="shared" si="22"/>
        <v>0</v>
      </c>
      <c r="G144" s="178"/>
      <c r="H144" s="178"/>
      <c r="I144" s="126">
        <f t="shared" si="23"/>
        <v>0</v>
      </c>
      <c r="J144" s="91"/>
    </row>
    <row r="145" spans="2:11" ht="15" hidden="1" customHeight="1">
      <c r="B145" s="181">
        <v>10.103999999999999</v>
      </c>
      <c r="C145" s="185"/>
      <c r="D145" s="186"/>
      <c r="E145" s="186"/>
      <c r="F145" s="126">
        <f t="shared" si="22"/>
        <v>0</v>
      </c>
      <c r="G145" s="178"/>
      <c r="H145" s="178"/>
      <c r="I145" s="126">
        <f t="shared" si="23"/>
        <v>0</v>
      </c>
      <c r="J145" s="91"/>
    </row>
    <row r="146" spans="2:11" ht="15" hidden="1" customHeight="1">
      <c r="B146" s="181">
        <v>10.105</v>
      </c>
      <c r="C146" s="185"/>
      <c r="D146" s="186"/>
      <c r="E146" s="186"/>
      <c r="F146" s="126">
        <f t="shared" si="22"/>
        <v>0</v>
      </c>
      <c r="G146" s="178"/>
      <c r="H146" s="178"/>
      <c r="I146" s="126">
        <f t="shared" si="23"/>
        <v>0</v>
      </c>
      <c r="J146" s="91"/>
    </row>
    <row r="147" spans="2:11" ht="15" hidden="1" customHeight="1">
      <c r="B147" s="181">
        <v>10.106</v>
      </c>
      <c r="C147" s="185"/>
      <c r="D147" s="186"/>
      <c r="E147" s="186"/>
      <c r="F147" s="126">
        <f t="shared" si="22"/>
        <v>0</v>
      </c>
      <c r="G147" s="178"/>
      <c r="H147" s="178"/>
      <c r="I147" s="126">
        <f t="shared" si="23"/>
        <v>0</v>
      </c>
      <c r="J147" s="91"/>
    </row>
    <row r="148" spans="2:11" ht="15" hidden="1" customHeight="1">
      <c r="B148" s="181">
        <v>10.106999999999999</v>
      </c>
      <c r="C148" s="155" t="s">
        <v>85</v>
      </c>
      <c r="D148" s="206"/>
      <c r="E148" s="206"/>
      <c r="F148" s="149">
        <f t="shared" si="22"/>
        <v>0</v>
      </c>
      <c r="G148" s="178"/>
      <c r="H148" s="178"/>
      <c r="I148" s="149">
        <f t="shared" si="23"/>
        <v>0</v>
      </c>
      <c r="J148" s="91"/>
    </row>
    <row r="149" spans="2:11" ht="15" hidden="1" customHeight="1">
      <c r="B149" s="181">
        <v>10.108000000000001</v>
      </c>
      <c r="C149" s="131" t="s">
        <v>147</v>
      </c>
      <c r="D149" s="132">
        <f t="shared" ref="D149:I149" si="24">SUM(D138:D148)</f>
        <v>0</v>
      </c>
      <c r="E149" s="132">
        <f t="shared" si="24"/>
        <v>0</v>
      </c>
      <c r="F149" s="132">
        <f t="shared" si="24"/>
        <v>0</v>
      </c>
      <c r="G149" s="132">
        <f t="shared" si="24"/>
        <v>0</v>
      </c>
      <c r="H149" s="132">
        <f>SUM(H138:H148)</f>
        <v>0</v>
      </c>
      <c r="I149" s="132">
        <f t="shared" si="24"/>
        <v>0</v>
      </c>
      <c r="J149" s="91"/>
    </row>
    <row r="150" spans="2:11" ht="15" hidden="1" customHeight="1" thickBot="1">
      <c r="B150" s="197"/>
      <c r="C150" s="109"/>
      <c r="D150" s="109"/>
      <c r="E150" s="109"/>
      <c r="F150" s="109"/>
      <c r="G150" s="109"/>
      <c r="H150" s="109"/>
      <c r="I150" s="109"/>
      <c r="J150" s="110"/>
    </row>
    <row r="151" spans="2:11" ht="15" customHeight="1">
      <c r="B151" s="201"/>
      <c r="C151" s="202"/>
      <c r="D151" s="202"/>
      <c r="E151" s="202"/>
      <c r="F151" s="202"/>
      <c r="G151" s="202"/>
      <c r="H151" s="202"/>
      <c r="I151" s="202"/>
      <c r="J151" s="203"/>
      <c r="K151" s="119"/>
    </row>
    <row r="152" spans="2:11" ht="15" hidden="1" customHeight="1">
      <c r="B152" s="179"/>
      <c r="C152" s="80"/>
      <c r="D152" s="80"/>
      <c r="E152" s="80"/>
      <c r="F152" s="80"/>
      <c r="G152" s="80"/>
      <c r="H152" s="80"/>
      <c r="I152" s="80"/>
      <c r="J152" s="82"/>
      <c r="K152" s="119"/>
    </row>
    <row r="153" spans="2:11" ht="15" hidden="1" customHeight="1">
      <c r="B153" s="181"/>
      <c r="C153" s="344" t="s">
        <v>149</v>
      </c>
      <c r="D153" s="346" t="s">
        <v>1</v>
      </c>
      <c r="E153" s="346"/>
      <c r="F153" s="346"/>
      <c r="G153" s="346" t="s">
        <v>116</v>
      </c>
      <c r="H153" s="346"/>
      <c r="I153" s="346"/>
      <c r="J153" s="91"/>
    </row>
    <row r="154" spans="2:11" ht="45" hidden="1" customHeight="1">
      <c r="B154" s="182" t="s">
        <v>56</v>
      </c>
      <c r="C154" s="345"/>
      <c r="D154" s="125" t="s">
        <v>57</v>
      </c>
      <c r="E154" s="125" t="s">
        <v>58</v>
      </c>
      <c r="F154" s="125" t="s">
        <v>59</v>
      </c>
      <c r="G154" s="125" t="s">
        <v>60</v>
      </c>
      <c r="H154" s="125" t="s">
        <v>61</v>
      </c>
      <c r="I154" s="125" t="s">
        <v>62</v>
      </c>
      <c r="J154" s="91"/>
    </row>
    <row r="155" spans="2:11" ht="15" hidden="1" customHeight="1">
      <c r="B155" s="181"/>
      <c r="C155" s="209" t="s">
        <v>150</v>
      </c>
      <c r="D155" s="146"/>
      <c r="E155" s="146"/>
      <c r="F155" s="146"/>
      <c r="G155" s="146"/>
      <c r="H155" s="146"/>
      <c r="I155" s="147"/>
      <c r="J155" s="91"/>
    </row>
    <row r="156" spans="2:11" ht="15" hidden="1" customHeight="1">
      <c r="B156" s="181">
        <v>10.109</v>
      </c>
      <c r="C156" s="185"/>
      <c r="D156" s="186"/>
      <c r="E156" s="186"/>
      <c r="F156" s="144">
        <f t="shared" ref="F156:F163" si="25">E156-D156</f>
        <v>0</v>
      </c>
      <c r="G156" s="178"/>
      <c r="H156" s="178"/>
      <c r="I156" s="126">
        <f t="shared" ref="I156:I163" si="26">H156-G156</f>
        <v>0</v>
      </c>
      <c r="J156" s="91"/>
    </row>
    <row r="157" spans="2:11" ht="15" hidden="1" customHeight="1">
      <c r="B157" s="181">
        <v>10.11</v>
      </c>
      <c r="C157" s="185"/>
      <c r="D157" s="186"/>
      <c r="E157" s="186"/>
      <c r="F157" s="126">
        <f t="shared" si="25"/>
        <v>0</v>
      </c>
      <c r="G157" s="178"/>
      <c r="H157" s="178"/>
      <c r="I157" s="126">
        <f t="shared" si="26"/>
        <v>0</v>
      </c>
      <c r="J157" s="91"/>
    </row>
    <row r="158" spans="2:11" ht="15" hidden="1" customHeight="1">
      <c r="B158" s="181">
        <v>10.111000000000001</v>
      </c>
      <c r="C158" s="185"/>
      <c r="D158" s="186"/>
      <c r="E158" s="186"/>
      <c r="F158" s="126">
        <f t="shared" si="25"/>
        <v>0</v>
      </c>
      <c r="G158" s="178"/>
      <c r="H158" s="178"/>
      <c r="I158" s="126">
        <f t="shared" si="26"/>
        <v>0</v>
      </c>
      <c r="J158" s="91"/>
    </row>
    <row r="159" spans="2:11" ht="15" hidden="1" customHeight="1">
      <c r="B159" s="181">
        <v>10.112</v>
      </c>
      <c r="C159" s="185"/>
      <c r="D159" s="186"/>
      <c r="E159" s="186"/>
      <c r="F159" s="126">
        <f t="shared" si="25"/>
        <v>0</v>
      </c>
      <c r="G159" s="178"/>
      <c r="H159" s="178"/>
      <c r="I159" s="126">
        <f t="shared" si="26"/>
        <v>0</v>
      </c>
      <c r="J159" s="91"/>
    </row>
    <row r="160" spans="2:11" ht="15" hidden="1" customHeight="1">
      <c r="B160" s="181">
        <v>10.113</v>
      </c>
      <c r="C160" s="185"/>
      <c r="D160" s="186"/>
      <c r="E160" s="186"/>
      <c r="F160" s="126">
        <f t="shared" si="25"/>
        <v>0</v>
      </c>
      <c r="G160" s="178"/>
      <c r="H160" s="178"/>
      <c r="I160" s="126">
        <f t="shared" si="26"/>
        <v>0</v>
      </c>
      <c r="J160" s="91"/>
    </row>
    <row r="161" spans="2:11" ht="15" hidden="1" customHeight="1">
      <c r="B161" s="181">
        <v>10.114000000000001</v>
      </c>
      <c r="C161" s="185"/>
      <c r="D161" s="186"/>
      <c r="E161" s="186"/>
      <c r="F161" s="126">
        <f t="shared" si="25"/>
        <v>0</v>
      </c>
      <c r="G161" s="178"/>
      <c r="H161" s="178"/>
      <c r="I161" s="126">
        <f t="shared" si="26"/>
        <v>0</v>
      </c>
      <c r="J161" s="91"/>
    </row>
    <row r="162" spans="2:11" ht="15" hidden="1" customHeight="1">
      <c r="B162" s="181">
        <v>10.115</v>
      </c>
      <c r="C162" s="185"/>
      <c r="D162" s="186"/>
      <c r="E162" s="186"/>
      <c r="F162" s="126">
        <f t="shared" si="25"/>
        <v>0</v>
      </c>
      <c r="G162" s="178"/>
      <c r="H162" s="178"/>
      <c r="I162" s="126">
        <f t="shared" si="26"/>
        <v>0</v>
      </c>
      <c r="J162" s="91"/>
    </row>
    <row r="163" spans="2:11" ht="15" hidden="1" customHeight="1">
      <c r="B163" s="181">
        <v>10.116</v>
      </c>
      <c r="C163" s="185"/>
      <c r="D163" s="186"/>
      <c r="E163" s="186"/>
      <c r="F163" s="126">
        <f t="shared" si="25"/>
        <v>0</v>
      </c>
      <c r="G163" s="178"/>
      <c r="H163" s="178"/>
      <c r="I163" s="126">
        <f t="shared" si="26"/>
        <v>0</v>
      </c>
      <c r="J163" s="91"/>
    </row>
    <row r="164" spans="2:11" ht="15" hidden="1" customHeight="1">
      <c r="B164" s="181">
        <v>10.117000000000001</v>
      </c>
      <c r="C164" s="190" t="s">
        <v>151</v>
      </c>
      <c r="D164" s="152">
        <f t="shared" ref="D164:I164" si="27">SUM(D156:D163)</f>
        <v>0</v>
      </c>
      <c r="E164" s="152">
        <f t="shared" si="27"/>
        <v>0</v>
      </c>
      <c r="F164" s="152">
        <f t="shared" si="27"/>
        <v>0</v>
      </c>
      <c r="G164" s="152">
        <f t="shared" si="27"/>
        <v>0</v>
      </c>
      <c r="H164" s="152">
        <f t="shared" si="27"/>
        <v>0</v>
      </c>
      <c r="I164" s="152">
        <f t="shared" si="27"/>
        <v>0</v>
      </c>
      <c r="J164" s="91"/>
    </row>
    <row r="165" spans="2:11" ht="9.75" hidden="1" customHeight="1">
      <c r="B165" s="181"/>
      <c r="C165" s="212"/>
      <c r="D165" s="208"/>
      <c r="E165" s="208"/>
      <c r="F165" s="208"/>
      <c r="G165" s="208"/>
      <c r="H165" s="208"/>
      <c r="I165" s="208"/>
      <c r="J165" s="91"/>
    </row>
    <row r="166" spans="2:11" ht="15" hidden="1" customHeight="1">
      <c r="B166" s="181">
        <v>10.118</v>
      </c>
      <c r="C166" s="213" t="s">
        <v>152</v>
      </c>
      <c r="D166" s="214">
        <f>D164+D93</f>
        <v>1426</v>
      </c>
      <c r="E166" s="214">
        <f>E164+E93</f>
        <v>1426</v>
      </c>
      <c r="F166" s="214">
        <f>E166-D166</f>
        <v>0</v>
      </c>
      <c r="G166" s="214">
        <f>G164+G93</f>
        <v>9947</v>
      </c>
      <c r="H166" s="214">
        <f>H164+H93</f>
        <v>9947</v>
      </c>
      <c r="I166" s="214">
        <f>H166-G166</f>
        <v>0</v>
      </c>
      <c r="J166" s="91"/>
      <c r="K166" s="119"/>
    </row>
    <row r="167" spans="2:11" ht="9.75" hidden="1" customHeight="1">
      <c r="B167" s="181"/>
      <c r="C167" s="87"/>
      <c r="D167" s="87"/>
      <c r="E167" s="87"/>
      <c r="F167" s="87"/>
      <c r="G167" s="87"/>
      <c r="H167" s="87"/>
      <c r="I167" s="87"/>
      <c r="J167" s="91"/>
      <c r="K167" s="119"/>
    </row>
    <row r="168" spans="2:11" ht="15" hidden="1" customHeight="1">
      <c r="B168" s="181"/>
      <c r="C168" s="209" t="s">
        <v>153</v>
      </c>
      <c r="D168" s="146"/>
      <c r="E168" s="146"/>
      <c r="F168" s="146"/>
      <c r="G168" s="146"/>
      <c r="H168" s="146"/>
      <c r="I168" s="147"/>
      <c r="J168" s="91"/>
    </row>
    <row r="169" spans="2:11" ht="15" hidden="1" customHeight="1">
      <c r="B169" s="181">
        <v>10.119</v>
      </c>
      <c r="C169" s="187" t="s">
        <v>154</v>
      </c>
      <c r="D169" s="186"/>
      <c r="E169" s="186"/>
      <c r="F169" s="144">
        <f>E169-D169</f>
        <v>0</v>
      </c>
      <c r="G169" s="178"/>
      <c r="H169" s="178"/>
      <c r="I169" s="126">
        <f>H169-G169</f>
        <v>0</v>
      </c>
      <c r="J169" s="91"/>
    </row>
    <row r="170" spans="2:11" ht="15" hidden="1" customHeight="1">
      <c r="B170" s="181">
        <v>10.119999999999999</v>
      </c>
      <c r="C170" s="187" t="s">
        <v>155</v>
      </c>
      <c r="D170" s="186"/>
      <c r="E170" s="186"/>
      <c r="F170" s="126">
        <f>E170-D170</f>
        <v>0</v>
      </c>
      <c r="G170" s="178"/>
      <c r="H170" s="178"/>
      <c r="I170" s="126">
        <f>H170-G170</f>
        <v>0</v>
      </c>
      <c r="J170" s="91"/>
    </row>
    <row r="171" spans="2:11" ht="15" hidden="1" customHeight="1">
      <c r="B171" s="181">
        <v>10.121</v>
      </c>
      <c r="C171" s="187" t="s">
        <v>156</v>
      </c>
      <c r="D171" s="186"/>
      <c r="E171" s="186"/>
      <c r="F171" s="126">
        <f>E171-D171</f>
        <v>0</v>
      </c>
      <c r="G171" s="178"/>
      <c r="H171" s="178"/>
      <c r="I171" s="126">
        <f>H171-G171</f>
        <v>0</v>
      </c>
      <c r="J171" s="91"/>
    </row>
    <row r="172" spans="2:11" ht="15" hidden="1" customHeight="1">
      <c r="B172" s="181">
        <v>10.122</v>
      </c>
      <c r="C172" s="187" t="s">
        <v>157</v>
      </c>
      <c r="D172" s="186"/>
      <c r="E172" s="186"/>
      <c r="F172" s="126">
        <f>E172-D172</f>
        <v>0</v>
      </c>
      <c r="G172" s="178"/>
      <c r="H172" s="178"/>
      <c r="I172" s="126">
        <f>H172-G172</f>
        <v>0</v>
      </c>
      <c r="J172" s="91"/>
    </row>
    <row r="173" spans="2:11" ht="15" hidden="1" customHeight="1">
      <c r="B173" s="181">
        <v>10.122999999999999</v>
      </c>
      <c r="C173" s="187" t="s">
        <v>158</v>
      </c>
      <c r="D173" s="186"/>
      <c r="E173" s="186"/>
      <c r="F173" s="126">
        <f>E173-D173</f>
        <v>0</v>
      </c>
      <c r="G173" s="178"/>
      <c r="H173" s="178"/>
      <c r="I173" s="126">
        <f>H173-G173</f>
        <v>0</v>
      </c>
      <c r="J173" s="91"/>
    </row>
    <row r="174" spans="2:11" ht="15" hidden="1" customHeight="1">
      <c r="B174" s="181">
        <v>10.124000000000001</v>
      </c>
      <c r="C174" s="215" t="s">
        <v>151</v>
      </c>
      <c r="D174" s="132">
        <f t="shared" ref="D174:I174" si="28">SUM(D169:D173)</f>
        <v>0</v>
      </c>
      <c r="E174" s="132">
        <f t="shared" si="28"/>
        <v>0</v>
      </c>
      <c r="F174" s="132">
        <f t="shared" si="28"/>
        <v>0</v>
      </c>
      <c r="G174" s="132">
        <f t="shared" si="28"/>
        <v>0</v>
      </c>
      <c r="H174" s="132">
        <f t="shared" si="28"/>
        <v>0</v>
      </c>
      <c r="I174" s="132">
        <f t="shared" si="28"/>
        <v>0</v>
      </c>
      <c r="J174" s="91"/>
    </row>
    <row r="175" spans="2:11" ht="15" hidden="1" customHeight="1" thickBot="1">
      <c r="B175" s="197"/>
      <c r="C175" s="109"/>
      <c r="D175" s="109"/>
      <c r="E175" s="109"/>
      <c r="F175" s="109"/>
      <c r="G175" s="109"/>
      <c r="H175" s="109"/>
      <c r="I175" s="109"/>
      <c r="J175" s="110"/>
    </row>
    <row r="176" spans="2:11" ht="15" hidden="1" customHeight="1">
      <c r="D176" s="251" t="s">
        <v>171</v>
      </c>
    </row>
    <row r="177" spans="3:4" ht="15" hidden="1" customHeight="1"/>
    <row r="178" spans="3:4" ht="15" hidden="1" customHeight="1"/>
    <row r="179" spans="3:4" ht="15" hidden="1" customHeight="1">
      <c r="C179" s="122" t="s">
        <v>159</v>
      </c>
      <c r="D179" s="216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89:I89"/>
    <mergeCell ref="C92:I92"/>
    <mergeCell ref="C5:C6"/>
    <mergeCell ref="D5:F5"/>
    <mergeCell ref="G5:I5"/>
    <mergeCell ref="C60:I60"/>
    <mergeCell ref="C79:I79"/>
    <mergeCell ref="C81:I81"/>
    <mergeCell ref="C87:I87"/>
    <mergeCell ref="C153:C154"/>
    <mergeCell ref="D153:F153"/>
    <mergeCell ref="G153:I153"/>
    <mergeCell ref="C103:I103"/>
    <mergeCell ref="C108:C109"/>
    <mergeCell ref="D108:F108"/>
    <mergeCell ref="G108:I108"/>
  </mergeCells>
  <phoneticPr fontId="25" type="noConversion"/>
  <conditionalFormatting sqref="G169:H173 G11:H35 G50:H53 G57:H58 G64:H71 G75:H77 G85:H85 G96:H101 G112:H121 G125:H134 G138:H148 G156:H163 G40:H40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brysonl</cp:lastModifiedBy>
  <cp:lastPrinted>2017-01-17T15:07:14Z</cp:lastPrinted>
  <dcterms:created xsi:type="dcterms:W3CDTF">2012-06-08T15:55:04Z</dcterms:created>
  <dcterms:modified xsi:type="dcterms:W3CDTF">2017-01-20T09:03:11Z</dcterms:modified>
</cp:coreProperties>
</file>